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95" windowWidth="12660" windowHeight="8070" tabRatio="875" activeTab="0"/>
  </bookViews>
  <sheets>
    <sheet name="COVER" sheetId="1" r:id="rId1"/>
    <sheet name="INDEX" sheetId="2" r:id="rId2"/>
    <sheet name="0.0 RELEASE RATE" sheetId="3" r:id="rId3"/>
    <sheet name="1.0 RATE CONTROL" sheetId="4" r:id="rId4"/>
    <sheet name="1.1 Dry Weather Flow" sheetId="5" r:id="rId5"/>
    <sheet name="1.2 BMPs-Rate Control Credit" sheetId="6" r:id="rId6"/>
    <sheet name="1.3 Restrictor Sizing" sheetId="7" r:id="rId7"/>
    <sheet name="2.0 VOLUME CONTROL" sheetId="8" r:id="rId8"/>
    <sheet name="2.1.1 Bioinfiltration" sheetId="9" r:id="rId9"/>
    <sheet name="2.1.2 Swales" sheetId="10" r:id="rId10"/>
    <sheet name="2.1.3 Green Roof" sheetId="11" r:id="rId11"/>
    <sheet name="2.1.4 Infiltration Vault" sheetId="12" r:id="rId12"/>
    <sheet name="2.1.5 Trees" sheetId="13" r:id="rId13"/>
    <sheet name="2.1.6 Permeable Pavement" sheetId="14" r:id="rId14"/>
    <sheet name="2.1.7.1 Roof Runoff Planters" sheetId="15" r:id="rId15"/>
    <sheet name="2.1.7.2 Roof Runoff Rain Barrel" sheetId="16" r:id="rId16"/>
    <sheet name="2.1.8 Filter Strips" sheetId="17" r:id="rId17"/>
    <sheet name="2.1.9 Oversized Detention" sheetId="18" r:id="rId18"/>
    <sheet name="2.1 BMP Volume Summary" sheetId="19" r:id="rId19"/>
    <sheet name="3.0 Sustainable Development" sheetId="20" r:id="rId20"/>
    <sheet name="3.1 Exceed Rate Control" sheetId="21" r:id="rId21"/>
    <sheet name="3.2 Exceed Volume Control" sheetId="22" r:id="rId22"/>
    <sheet name="IDF" sheetId="23" r:id="rId23"/>
  </sheets>
  <definedNames>
    <definedName name="_xlnm.Print_Area" localSheetId="2">'0.0 RELEASE RATE'!$B$1:$H$66</definedName>
    <definedName name="_xlnm.Print_Area" localSheetId="3">'1.0 RATE CONTROL'!$A$1:$I$95</definedName>
    <definedName name="_xlnm.Print_Area" localSheetId="4">'1.1 Dry Weather Flow'!$A$1:$F$44</definedName>
    <definedName name="_xlnm.Print_Area" localSheetId="6">'1.3 Restrictor Sizing'!$A$1:$I$54</definedName>
    <definedName name="_xlnm.Print_Area" localSheetId="7">'2.0 VOLUME CONTROL'!$A$1:$F$49</definedName>
    <definedName name="_xlnm.Print_Area" localSheetId="9">'2.1.2 Swales'!$B$8:$F$53</definedName>
    <definedName name="_xlnm.Print_Area" localSheetId="19">'3.0 Sustainable Development'!$A$1:$G$29</definedName>
    <definedName name="_xlnm.Print_Area" localSheetId="21">'3.2 Exceed Volume Control'!$A$1:$G$17</definedName>
    <definedName name="_xlnm.Print_Area" localSheetId="0">'COVER'!$A$1:$I$58</definedName>
    <definedName name="_xlnm.Print_Area" localSheetId="22">'IDF'!$A$1:$M$34</definedName>
    <definedName name="_xlnm.Print_Area" localSheetId="1">'INDEX'!$A$1:$I$53</definedName>
    <definedName name="solver_cvg" localSheetId="22" hidden="1">0.0001</definedName>
    <definedName name="solver_drv" localSheetId="22" hidden="1">1</definedName>
    <definedName name="solver_est" localSheetId="22" hidden="1">1</definedName>
    <definedName name="solver_itr" localSheetId="22" hidden="1">100</definedName>
    <definedName name="solver_lin" localSheetId="22" hidden="1">2</definedName>
    <definedName name="solver_neg" localSheetId="22" hidden="1">2</definedName>
    <definedName name="solver_num" localSheetId="22" hidden="1">0</definedName>
    <definedName name="solver_nwt" localSheetId="22" hidden="1">1</definedName>
    <definedName name="solver_opt" localSheetId="22" hidden="1">'IDF'!$M$18</definedName>
    <definedName name="solver_pre" localSheetId="22" hidden="1">0.000001</definedName>
    <definedName name="solver_scl" localSheetId="22" hidden="1">2</definedName>
    <definedName name="solver_sho" localSheetId="22" hidden="1">2</definedName>
    <definedName name="solver_tim" localSheetId="22" hidden="1">100</definedName>
    <definedName name="solver_tol" localSheetId="22" hidden="1">0.05</definedName>
    <definedName name="solver_typ" localSheetId="22" hidden="1">1</definedName>
    <definedName name="solver_val" localSheetId="22" hidden="1">0</definedName>
  </definedNames>
  <calcPr fullCalcOnLoad="1"/>
</workbook>
</file>

<file path=xl/comments1.xml><?xml version="1.0" encoding="utf-8"?>
<comments xmlns="http://schemas.openxmlformats.org/spreadsheetml/2006/main">
  <authors>
    <author>Jeff Wickenkamp</author>
  </authors>
  <commentList>
    <comment ref="C58" authorId="0">
      <text>
        <r>
          <rPr>
            <b/>
            <sz val="8"/>
            <rFont val="Tahoma"/>
            <family val="0"/>
          </rPr>
          <t>When red triangle in upper right corner of cell is present, comment will appear when cursor is held over box.</t>
        </r>
      </text>
    </comment>
  </commentList>
</comments>
</file>

<file path=xl/comments10.xml><?xml version="1.0" encoding="utf-8"?>
<comments xmlns="http://schemas.openxmlformats.org/spreadsheetml/2006/main">
  <authors>
    <author>Jeff Wickenkamp</author>
    <author> </author>
  </authors>
  <commentList>
    <comment ref="E30" authorId="0">
      <text>
        <r>
          <rPr>
            <sz val="8"/>
            <rFont val="Tahoma"/>
            <family val="2"/>
          </rPr>
          <t xml:space="preserve">Use Manning's n = 
0.15 for depth of 0 to 4 inches
0.135 for depth of 5 inches
0.12 for depth of 6 inches
</t>
        </r>
      </text>
    </comment>
    <comment ref="E32" authorId="0">
      <text>
        <r>
          <rPr>
            <sz val="8"/>
            <rFont val="Tahoma"/>
            <family val="2"/>
          </rPr>
          <t>Channel slope will need to be 1.6% or less to meet minimum velocity criteria at 6-inch depth. 
Computed flow must be equal to or greater than 2-year flow</t>
        </r>
      </text>
    </comment>
    <comment ref="E33" authorId="0">
      <text>
        <r>
          <rPr>
            <b/>
            <sz val="8"/>
            <rFont val="Tahoma"/>
            <family val="0"/>
          </rPr>
          <t>Must be less than 1 ft/sec</t>
        </r>
      </text>
    </comment>
    <comment ref="E16" authorId="0">
      <text>
        <r>
          <rPr>
            <sz val="8"/>
            <rFont val="Tahoma"/>
            <family val="2"/>
          </rPr>
          <t>Includes 75% adjustment factor for use of 100-year C-value with 2-year design flow computation</t>
        </r>
      </text>
    </comment>
    <comment ref="E27" authorId="1">
      <text>
        <r>
          <rPr>
            <b/>
            <sz val="8"/>
            <rFont val="Tahoma"/>
            <family val="0"/>
          </rPr>
          <t xml:space="preserve"> Ratio of Horizontal distance to Vertical change.
(i.e. 3 ft/ft has 3 ft of horizontal change to 1 ft of vertical change)</t>
        </r>
      </text>
    </comment>
  </commentList>
</comments>
</file>

<file path=xl/comments11.xml><?xml version="1.0" encoding="utf-8"?>
<comments xmlns="http://schemas.openxmlformats.org/spreadsheetml/2006/main">
  <authors>
    <author>Jeff Wickenkamp</author>
  </authors>
  <commentList>
    <comment ref="E18" authorId="0">
      <text>
        <r>
          <rPr>
            <sz val="8"/>
            <rFont val="Tahoma"/>
            <family val="0"/>
          </rPr>
          <t>Override this factor if green roof is an irregular shape.</t>
        </r>
      </text>
    </comment>
  </commentList>
</comments>
</file>

<file path=xl/comments13.xml><?xml version="1.0" encoding="utf-8"?>
<comments xmlns="http://schemas.openxmlformats.org/spreadsheetml/2006/main">
  <authors>
    <author>Jeff Wickenkamp</author>
  </authors>
  <commentList>
    <comment ref="I11" authorId="0">
      <text>
        <r>
          <rPr>
            <sz val="8"/>
            <rFont val="Tahoma"/>
            <family val="2"/>
          </rPr>
          <t>May use this new effective impervious area on the volume control spreadsheet</t>
        </r>
      </text>
    </comment>
  </commentList>
</comments>
</file>

<file path=xl/comments14.xml><?xml version="1.0" encoding="utf-8"?>
<comments xmlns="http://schemas.openxmlformats.org/spreadsheetml/2006/main">
  <authors>
    <author>Jeff Wickenkamp</author>
  </authors>
  <commentList>
    <comment ref="E13" authorId="0">
      <text>
        <r>
          <rPr>
            <sz val="8"/>
            <rFont val="Tahoma"/>
            <family val="2"/>
          </rPr>
          <t>On other BMP worksheets this calculation is performed to compute the total runoff from a 1-inch storm to the BMP including upstream pervious areas. Here it should only include impervious areas because pervious areas should not be routed to permeable pavement.</t>
        </r>
      </text>
    </comment>
  </commentList>
</comments>
</file>

<file path=xl/comments17.xml><?xml version="1.0" encoding="utf-8"?>
<comments xmlns="http://schemas.openxmlformats.org/spreadsheetml/2006/main">
  <authors>
    <author>Jeff Wickenkamp</author>
  </authors>
  <commentList>
    <comment ref="E21" authorId="0">
      <text>
        <r>
          <rPr>
            <sz val="8"/>
            <rFont val="Tahoma"/>
            <family val="2"/>
          </rPr>
          <t>Must be 20% or greater than DA Flowpath</t>
        </r>
      </text>
    </comment>
    <comment ref="E24" authorId="0">
      <text>
        <r>
          <rPr>
            <sz val="8"/>
            <rFont val="Tahoma"/>
            <family val="2"/>
          </rPr>
          <t>Flowpath length to filter strip must be equivalent to 75 feet or less.  If not uniformly sloping, or if concentrated discharge such as roof runoff is being discharged, level spreader is required.</t>
        </r>
      </text>
    </comment>
  </commentList>
</comments>
</file>

<file path=xl/comments18.xml><?xml version="1.0" encoding="utf-8"?>
<comments xmlns="http://schemas.openxmlformats.org/spreadsheetml/2006/main">
  <authors>
    <author>Jeff Wickenkamp</author>
  </authors>
  <commentList>
    <comment ref="G26" authorId="0">
      <text>
        <r>
          <rPr>
            <sz val="8"/>
            <rFont val="Tahoma"/>
            <family val="2"/>
          </rPr>
          <t>Uses Value entered in Cell D18</t>
        </r>
      </text>
    </comment>
  </commentList>
</comments>
</file>

<file path=xl/comments19.xml><?xml version="1.0" encoding="utf-8"?>
<comments xmlns="http://schemas.openxmlformats.org/spreadsheetml/2006/main">
  <authors>
    <author>Jeff Wickenkamp</author>
  </authors>
  <commentList>
    <comment ref="C19" authorId="0">
      <text>
        <r>
          <rPr>
            <sz val="8"/>
            <rFont val="Tahoma"/>
            <family val="2"/>
          </rPr>
          <t>Works to reduce effective impervious area, which reduced required storage. Not treated as storage itself.</t>
        </r>
      </text>
    </comment>
    <comment ref="C17" authorId="0">
      <text>
        <r>
          <rPr>
            <sz val="8"/>
            <rFont val="Tahoma"/>
            <family val="2"/>
          </rPr>
          <t>Works to reduce effective impervious area, which reduced required storage. Not treated as storage itself.</t>
        </r>
      </text>
    </comment>
  </commentList>
</comments>
</file>

<file path=xl/comments21.xml><?xml version="1.0" encoding="utf-8"?>
<comments xmlns="http://schemas.openxmlformats.org/spreadsheetml/2006/main">
  <authors>
    <author>Jeff Wickenkamp</author>
  </authors>
  <commentList>
    <comment ref="G26" authorId="0">
      <text>
        <r>
          <rPr>
            <sz val="8"/>
            <rFont val="Tahoma"/>
            <family val="2"/>
          </rPr>
          <t>Uses Value entered in Cell D18</t>
        </r>
      </text>
    </comment>
  </commentList>
</comments>
</file>

<file path=xl/comments3.xml><?xml version="1.0" encoding="utf-8"?>
<comments xmlns="http://schemas.openxmlformats.org/spreadsheetml/2006/main">
  <authors>
    <author>DC5700-XPPRO</author>
  </authors>
  <commentList>
    <comment ref="E64" authorId="0">
      <text>
        <r>
          <rPr>
            <b/>
            <sz val="8"/>
            <rFont val="Tahoma"/>
            <family val="0"/>
          </rPr>
          <t>DC5700-XPPRO:</t>
        </r>
        <r>
          <rPr>
            <sz val="8"/>
            <rFont val="Tahoma"/>
            <family val="0"/>
          </rPr>
          <t xml:space="preserve">
Insert outlet sewer capacity from Outlet Sewer Capacity Map, Effective Jan 1, 2010 or latest revision</t>
        </r>
      </text>
    </comment>
  </commentList>
</comments>
</file>

<file path=xl/comments4.xml><?xml version="1.0" encoding="utf-8"?>
<comments xmlns="http://schemas.openxmlformats.org/spreadsheetml/2006/main">
  <authors>
    <author>Jeff Wickenkamp</author>
    <author>Compaq Evo D510</author>
    <author>DC5700-XPPRO</author>
    <author>Administrator</author>
  </authors>
  <commentList>
    <comment ref="D39" authorId="0">
      <text>
        <r>
          <rPr>
            <b/>
            <sz val="8"/>
            <rFont val="Tahoma"/>
            <family val="0"/>
          </rPr>
          <t>Accounts for BMPs with C-value of 1.0 (cells D29 and E29) or for BMPs providing storage (cells D30 and F30)
BMP C-value is limited to 0.10 minimum</t>
        </r>
      </text>
    </comment>
    <comment ref="F30" authorId="0">
      <text>
        <r>
          <rPr>
            <b/>
            <sz val="8"/>
            <rFont val="Tahoma"/>
            <family val="0"/>
          </rPr>
          <t xml:space="preserve">From 1.2 BMPs - Rate Control Credit
</t>
        </r>
      </text>
    </comment>
    <comment ref="D30" authorId="0">
      <text>
        <r>
          <rPr>
            <b/>
            <sz val="8"/>
            <rFont val="Tahoma"/>
            <family val="0"/>
          </rPr>
          <t xml:space="preserve">From 1.2 BMPs - Rate Control Credit
</t>
        </r>
      </text>
    </comment>
    <comment ref="D29" authorId="0">
      <text>
        <r>
          <rPr>
            <b/>
            <sz val="8"/>
            <rFont val="Tahoma"/>
            <family val="0"/>
          </rPr>
          <t>From 1.2 BMPs - Rate Control Credit</t>
        </r>
      </text>
    </comment>
    <comment ref="E29" authorId="0">
      <text>
        <r>
          <rPr>
            <sz val="8"/>
            <rFont val="Tahoma"/>
            <family val="2"/>
          </rPr>
          <t>Set to 1.0 for all BMPs except permeable pavement ( uses 0.95 due to interception on surface and in bedding that isn't credited on worksheet) because storage will be fully counted toward detention and surface is treated like a wet pond</t>
        </r>
      </text>
    </comment>
    <comment ref="C65" authorId="0">
      <text>
        <r>
          <rPr>
            <b/>
            <sz val="8"/>
            <rFont val="Tahoma"/>
            <family val="0"/>
          </rPr>
          <t>If infiltration rate is greater than 0, will be added to detention release rate for purposes of detention volume sizing</t>
        </r>
      </text>
    </comment>
    <comment ref="C72" authorId="0">
      <text>
        <r>
          <rPr>
            <b/>
            <sz val="8"/>
            <rFont val="Tahoma"/>
            <family val="0"/>
          </rPr>
          <t xml:space="preserve">User must enter appropriate design storm.  In most cases, the 100-year event will apply, but reduced standards apply to special cases such as lot-to-lot buildings and residential developments
</t>
        </r>
      </text>
    </comment>
    <comment ref="C66" authorId="0">
      <text>
        <r>
          <rPr>
            <b/>
            <sz val="8"/>
            <rFont val="Tahoma"/>
            <family val="0"/>
          </rPr>
          <t xml:space="preserve">This rate used below in Cell G73 to compute maximum required storage </t>
        </r>
      </text>
    </comment>
    <comment ref="E23" authorId="0">
      <text>
        <r>
          <rPr>
            <sz val="8"/>
            <rFont val="Tahoma"/>
            <family val="0"/>
          </rPr>
          <t xml:space="preserve">Green Roof C-Values=
0.5 for &lt;4" depth
0.3 for 4"-8" depth
0.2 for 9"-20" depth
0.1 for &gt;20" depth
</t>
        </r>
      </text>
    </comment>
    <comment ref="D34" authorId="0">
      <text>
        <r>
          <rPr>
            <b/>
            <sz val="8"/>
            <rFont val="Tahoma"/>
            <family val="0"/>
          </rPr>
          <t>Does include building sidewalls.</t>
        </r>
      </text>
    </comment>
    <comment ref="E48" authorId="0">
      <text>
        <r>
          <rPr>
            <b/>
            <sz val="8"/>
            <rFont val="Tahoma"/>
            <family val="0"/>
          </rPr>
          <t>Do not answer this question (you can type "see Q1") if answer to Question 1 is yes and you intend to use release rate of 1 cfs/acre</t>
        </r>
        <r>
          <rPr>
            <sz val="8"/>
            <rFont val="Tahoma"/>
            <family val="0"/>
          </rPr>
          <t xml:space="preserve">
</t>
        </r>
      </text>
    </comment>
    <comment ref="D36" authorId="1">
      <text>
        <r>
          <rPr>
            <b/>
            <sz val="8"/>
            <rFont val="Tahoma"/>
            <family val="2"/>
          </rPr>
          <t>The combination of pervious area, impervious area, and BMP area should add up to the total site area.</t>
        </r>
      </text>
    </comment>
    <comment ref="D27" authorId="2">
      <text>
        <r>
          <rPr>
            <b/>
            <sz val="8"/>
            <rFont val="Tahoma"/>
            <family val="0"/>
          </rPr>
          <t xml:space="preserve">Building sidewall area is counted as part of the site area for calculating required detention volume but is not counted toward the allowable release rate. </t>
        </r>
        <r>
          <rPr>
            <sz val="8"/>
            <rFont val="Tahoma"/>
            <family val="0"/>
          </rPr>
          <t xml:space="preserve">
</t>
        </r>
      </text>
    </comment>
    <comment ref="D13" authorId="3">
      <text>
        <r>
          <rPr>
            <b/>
            <sz val="9"/>
            <rFont val="Tahoma"/>
            <family val="2"/>
          </rPr>
          <t>Submit geotechnical report to substantiate the presence of sandy soil</t>
        </r>
      </text>
    </comment>
    <comment ref="D14" authorId="3">
      <text>
        <r>
          <rPr>
            <b/>
            <sz val="9"/>
            <rFont val="Tahoma"/>
            <family val="2"/>
          </rPr>
          <t>Submit geotechnical report to substantiate the presence of sandy soil</t>
        </r>
      </text>
    </comment>
    <comment ref="D15" authorId="3">
      <text>
        <r>
          <rPr>
            <b/>
            <sz val="9"/>
            <rFont val="Tahoma"/>
            <family val="2"/>
          </rPr>
          <t>Submit geotechnical report to substantiate the presence of sandy soil</t>
        </r>
      </text>
    </comment>
  </commentList>
</comments>
</file>

<file path=xl/comments6.xml><?xml version="1.0" encoding="utf-8"?>
<comments xmlns="http://schemas.openxmlformats.org/spreadsheetml/2006/main">
  <authors>
    <author>Jeff Wickenkamp</author>
    <author> </author>
    <author>Patrick Lach</author>
  </authors>
  <commentList>
    <comment ref="D51" authorId="0">
      <text>
        <r>
          <rPr>
            <b/>
            <sz val="8"/>
            <rFont val="Tahoma"/>
            <family val="0"/>
          </rPr>
          <t>Used in Rate Control Worksheet Cell D29</t>
        </r>
      </text>
    </comment>
    <comment ref="E51" authorId="0">
      <text>
        <r>
          <rPr>
            <b/>
            <sz val="8"/>
            <rFont val="Tahoma"/>
            <family val="0"/>
          </rPr>
          <t xml:space="preserve">Used in Rate Control Worksheet Cell F29
</t>
        </r>
      </text>
    </comment>
    <comment ref="D33" authorId="0">
      <text>
        <r>
          <rPr>
            <b/>
            <sz val="8"/>
            <rFont val="Tahoma"/>
            <family val="0"/>
          </rPr>
          <t>Used in Rate Control Worksheet Cell D28</t>
        </r>
      </text>
    </comment>
    <comment ref="F22" authorId="0">
      <text>
        <r>
          <rPr>
            <b/>
            <sz val="8"/>
            <rFont val="Tahoma"/>
            <family val="0"/>
          </rPr>
          <t>Infiltration rate must be as measured in field as explained in Stormwater Manual, Factor of Safety of 2 will be applied when providing credit toward detention release.</t>
        </r>
      </text>
    </comment>
    <comment ref="G22" authorId="1">
      <text>
        <r>
          <rPr>
            <b/>
            <sz val="8"/>
            <rFont val="Tahoma"/>
            <family val="0"/>
          </rPr>
          <t>If Infiltration is below 0.5, then the allowable infiltration is set to zero.</t>
        </r>
        <r>
          <rPr>
            <sz val="8"/>
            <rFont val="Tahoma"/>
            <family val="0"/>
          </rPr>
          <t xml:space="preserve">
</t>
        </r>
      </text>
    </comment>
    <comment ref="D45" authorId="2">
      <text>
        <r>
          <rPr>
            <b/>
            <sz val="8"/>
            <rFont val="Tahoma"/>
            <family val="0"/>
          </rPr>
          <t>This number comes from the Volume Control Spreadsheet which only accounts for storage up to a depth of 6-inches.
Storage above 6-inches under the design rate control event (i.e. 100-yr storm event) should be separately accounted for in Detention Storage calculations, if applicable.</t>
        </r>
        <r>
          <rPr>
            <sz val="8"/>
            <rFont val="Tahoma"/>
            <family val="0"/>
          </rPr>
          <t xml:space="preserve">
</t>
        </r>
      </text>
    </comment>
    <comment ref="D25" authorId="2">
      <text>
        <r>
          <rPr>
            <b/>
            <sz val="8"/>
            <rFont val="Tahoma"/>
            <family val="0"/>
          </rPr>
          <t>This number comes from the Volume Control Spreadsheet which only accounts for storage up to a depth of 6-inches.
Storage above 6-inches under the design rate control event (i.e. 100-yr storm event) should be separately accounted for in Detention Storage calculations, if applicable.</t>
        </r>
        <r>
          <rPr>
            <sz val="8"/>
            <rFont val="Tahoma"/>
            <family val="0"/>
          </rPr>
          <t xml:space="preserve">
</t>
        </r>
      </text>
    </comment>
    <comment ref="B22" authorId="0">
      <text>
        <r>
          <rPr>
            <b/>
            <sz val="8"/>
            <rFont val="Tahoma"/>
            <family val="0"/>
          </rPr>
          <t>User will typically want to apply storage toward Rate Control Credit, so type yes here. In some cases if BMP is being used as a permeable surface (to meet impervious surface reduction requirement), then user may wish to treat solely as a permeable surface.  In that case enter "yes" in lower section (see line 41)  instead.</t>
        </r>
      </text>
    </comment>
    <comment ref="B42" authorId="0">
      <text>
        <r>
          <rPr>
            <b/>
            <sz val="8"/>
            <rFont val="Tahoma"/>
            <family val="0"/>
          </rPr>
          <t xml:space="preserve">In some cases if BMP is being used as a permeable surface (to meet impervious surface reduction requirement), then user may wish to treat solely as a permeable surface.  In that case enter "yes" here instead of upper section. </t>
        </r>
      </text>
    </comment>
  </commentList>
</comments>
</file>

<file path=xl/comments8.xml><?xml version="1.0" encoding="utf-8"?>
<comments xmlns="http://schemas.openxmlformats.org/spreadsheetml/2006/main">
  <authors>
    <author>Jeff Wickenkamp</author>
  </authors>
  <commentList>
    <comment ref="E21" authorId="0">
      <text>
        <r>
          <rPr>
            <sz val="8"/>
            <rFont val="Tahoma"/>
            <family val="2"/>
          </rPr>
          <t>Green roof will be counted as pervious surface for reduction of site imperviousness.</t>
        </r>
      </text>
    </comment>
    <comment ref="E22" authorId="0">
      <text>
        <r>
          <rPr>
            <sz val="8"/>
            <rFont val="Tahoma"/>
            <family val="2"/>
          </rPr>
          <t>Permeable paving can either be counted as pervious surface for reduction of site imperviousness, or included as an impervious surface in the calculation of required volume control storage. (See question 3 below)</t>
        </r>
      </text>
    </comment>
    <comment ref="E19" authorId="0">
      <text>
        <r>
          <rPr>
            <sz val="8"/>
            <rFont val="Tahoma"/>
            <family val="2"/>
          </rPr>
          <t>Roofs that discharge directly to waters may be ommitted from the volume control calculations.  Complete worksheet for remainder of site.</t>
        </r>
      </text>
    </comment>
    <comment ref="E23" authorId="0">
      <text>
        <r>
          <rPr>
            <sz val="8"/>
            <rFont val="Tahoma"/>
            <family val="2"/>
          </rPr>
          <t>Any area for stormwater trees entered here may be subtracted from the nearby impervious surface.  See Stormwater Trees Worksheet.</t>
        </r>
      </text>
    </comment>
    <comment ref="B17" authorId="0">
      <text>
        <r>
          <rPr>
            <b/>
            <sz val="8"/>
            <rFont val="Tahoma"/>
            <family val="0"/>
          </rPr>
          <t>Tributary sidewalls are not required as part of volume control computations, thus, no space is allotted for its entry on this worksheet.</t>
        </r>
      </text>
    </comment>
    <comment ref="E35" authorId="0">
      <text>
        <r>
          <rPr>
            <sz val="8"/>
            <rFont val="Tahoma"/>
            <family val="2"/>
          </rPr>
          <t>Compare with Cell C49 to see if requirements are met.</t>
        </r>
      </text>
    </comment>
  </commentList>
</comments>
</file>

<file path=xl/sharedStrings.xml><?xml version="1.0" encoding="utf-8"?>
<sst xmlns="http://schemas.openxmlformats.org/spreadsheetml/2006/main" count="1291" uniqueCount="603">
  <si>
    <t xml:space="preserve"> Runoff Calculation</t>
  </si>
  <si>
    <t>Pervious Land</t>
  </si>
  <si>
    <t>Wetland</t>
  </si>
  <si>
    <t>Gravel</t>
  </si>
  <si>
    <t>Impervious Land</t>
  </si>
  <si>
    <t>Imperviousness percentage (%)</t>
  </si>
  <si>
    <t>C-Value 100-Year</t>
  </si>
  <si>
    <t>Total pervious area (sq ft)</t>
  </si>
  <si>
    <t>Total impervious area (sq ft)</t>
  </si>
  <si>
    <t>Total site area (sq ft)</t>
  </si>
  <si>
    <t>Summary</t>
  </si>
  <si>
    <t>Step 1:</t>
  </si>
  <si>
    <t>Step 2:</t>
  </si>
  <si>
    <t xml:space="preserve">Step 3: </t>
  </si>
  <si>
    <t>Achieving Volume Control Measures</t>
  </si>
  <si>
    <t>Question 1:</t>
  </si>
  <si>
    <t>Question 2:</t>
  </si>
  <si>
    <t>Question 3:</t>
  </si>
  <si>
    <t>percent</t>
  </si>
  <si>
    <t>Native Vegetation with prepared soils</t>
  </si>
  <si>
    <t>Reduce proposed imperviousness to:</t>
  </si>
  <si>
    <t>I.</t>
  </si>
  <si>
    <t>Capture 0.5" of runoff from impervious surfaces.  Storage required =</t>
  </si>
  <si>
    <t>Allowable Release Rate Assessment</t>
  </si>
  <si>
    <t>Does the site drain directly to Waters?</t>
  </si>
  <si>
    <t>Does the site only include residential land use?</t>
  </si>
  <si>
    <t xml:space="preserve">Do you plan to use the standard maximum release rate (only available to sites less than 1.75 acres)?  </t>
  </si>
  <si>
    <t>Note</t>
  </si>
  <si>
    <t>Achieving Rate Control Measures</t>
  </si>
  <si>
    <t>Allowable release rate</t>
  </si>
  <si>
    <t xml:space="preserve">Storm </t>
  </si>
  <si>
    <t>Runoff</t>
  </si>
  <si>
    <t>Rainfall</t>
  </si>
  <si>
    <t>Drainage</t>
  </si>
  <si>
    <t>Infow</t>
  </si>
  <si>
    <t>Total</t>
  </si>
  <si>
    <t>Release</t>
  </si>
  <si>
    <t>Storage</t>
  </si>
  <si>
    <t>Duration</t>
  </si>
  <si>
    <t>Coefficient</t>
  </si>
  <si>
    <t>Intensity</t>
  </si>
  <si>
    <t>Area A</t>
  </si>
  <si>
    <t>Rate</t>
  </si>
  <si>
    <t>Storm Vol</t>
  </si>
  <si>
    <t>Volume Rate</t>
  </si>
  <si>
    <t>(minute)</t>
  </si>
  <si>
    <t>C</t>
  </si>
  <si>
    <t>(in/hr)</t>
  </si>
  <si>
    <t>(acres)</t>
  </si>
  <si>
    <t>Q=CIA</t>
  </si>
  <si>
    <t>(cfs)</t>
  </si>
  <si>
    <t>Required Detention Vol (cf)</t>
  </si>
  <si>
    <t xml:space="preserve">Note: 1) the calculation assumes that the rising and recessing limb of inflow and outflow hydrograph are vertical </t>
  </si>
  <si>
    <t>Notes:</t>
  </si>
  <si>
    <t>cubic feet</t>
  </si>
  <si>
    <t>Question 4:</t>
  </si>
  <si>
    <t xml:space="preserve">STORM EVENT (5,10,25,50 or 100) = </t>
  </si>
  <si>
    <t>Question 5:</t>
  </si>
  <si>
    <t>Green Roof</t>
  </si>
  <si>
    <t>cfs</t>
  </si>
  <si>
    <t>Step 3:</t>
  </si>
  <si>
    <t>or, II.</t>
  </si>
  <si>
    <t>Dry bottom basins to HWL</t>
  </si>
  <si>
    <t>Lawns - Sandy soil, flat, 0% to 2%</t>
  </si>
  <si>
    <t>Lawns - Sandy soil, steep, &gt;7%</t>
  </si>
  <si>
    <t>Lawns - Sandy soil, avg, 2% to 7%</t>
  </si>
  <si>
    <t>Lawns - Heavy soil, flat, 0% to 2%</t>
  </si>
  <si>
    <t>Lawns - Heavy soil, avg, 2% to 7%</t>
  </si>
  <si>
    <t>Lawns - Heavy soil, steep, &gt;7%</t>
  </si>
  <si>
    <t>Woodlands, flat, 2%</t>
  </si>
  <si>
    <t>Woodlands</t>
  </si>
  <si>
    <t>Type Yes or No for all that apply</t>
  </si>
  <si>
    <t>Question 6:</t>
  </si>
  <si>
    <t xml:space="preserve">Is the site more than 75 percent of substantially contiguous at-grade open space that is conducive to ponding of surface waters (Answer "No" if site discharges to waterway or is a service station)?  </t>
  </si>
  <si>
    <t>Land Use</t>
  </si>
  <si>
    <t>Boarding Homes</t>
  </si>
  <si>
    <t>Factories (excluding process water)</t>
  </si>
  <si>
    <t>Oversized Detention Computation</t>
  </si>
  <si>
    <t>Volume Control Storage</t>
  </si>
  <si>
    <t>Rate Control Storage</t>
  </si>
  <si>
    <t>Units</t>
  </si>
  <si>
    <t xml:space="preserve">Try reducing release rate here until total required storage in oversized detention facility is achieved. </t>
  </si>
  <si>
    <t>Total Storage Required for oversized detention</t>
  </si>
  <si>
    <t>Total Storage Provided</t>
  </si>
  <si>
    <t xml:space="preserve">Oversized Detention Calculation </t>
  </si>
  <si>
    <t>Notes</t>
  </si>
  <si>
    <t xml:space="preserve">Pavement </t>
  </si>
  <si>
    <t>Roofs (conventional)</t>
  </si>
  <si>
    <t>Wet bottom basins to HWL</t>
  </si>
  <si>
    <t>BMP</t>
  </si>
  <si>
    <t>Bioinfiltration Systems</t>
  </si>
  <si>
    <t>Drainage Swales</t>
  </si>
  <si>
    <t>Roof Runoff BMPs - Planter Boxes</t>
  </si>
  <si>
    <t>Roof Runoff BMPs - Rain Barrels and Cisterns</t>
  </si>
  <si>
    <t>Permeable Paving</t>
  </si>
  <si>
    <t>Vegetated Filter Strips</t>
  </si>
  <si>
    <t>Area (sq. ft.)</t>
  </si>
  <si>
    <t>Storage Provided (cu. ft.)</t>
  </si>
  <si>
    <t>Totals</t>
  </si>
  <si>
    <t>n/a</t>
  </si>
  <si>
    <t>BMP areas</t>
  </si>
  <si>
    <t>-</t>
  </si>
  <si>
    <t>Volume Control BMP Summary for use in Rate Control Worksheet</t>
  </si>
  <si>
    <t>n/a = not applicable and indicates when credit is inappropriate or unavailable for a given BMP.</t>
  </si>
  <si>
    <t>When the option exists, the applicant may decide whether or not to count volume control storage toward detention storage.</t>
  </si>
  <si>
    <t>Instructions for use:</t>
  </si>
  <si>
    <t>Weighted C- value (non BMP areas)</t>
  </si>
  <si>
    <r>
      <t>Natural Landscaping and Stormwater Trees</t>
    </r>
    <r>
      <rPr>
        <vertAlign val="superscript"/>
        <sz val="10"/>
        <rFont val="Arial"/>
        <family val="2"/>
      </rPr>
      <t>1</t>
    </r>
  </si>
  <si>
    <r>
      <t>Vegetated Filter Strips</t>
    </r>
    <r>
      <rPr>
        <vertAlign val="superscript"/>
        <sz val="10"/>
        <rFont val="Arial"/>
        <family val="2"/>
      </rPr>
      <t>2</t>
    </r>
  </si>
  <si>
    <t>Allowable Infiltration Release Rate (cfs)</t>
  </si>
  <si>
    <t>Detention Storage Calculations</t>
  </si>
  <si>
    <t>Pervious Surface or Land Cover not Counted as Impervious for Volume Control Calculations</t>
  </si>
  <si>
    <t>BMPs</t>
  </si>
  <si>
    <t>Bare Earth</t>
  </si>
  <si>
    <t>Lawn or Landscaped Areas</t>
  </si>
  <si>
    <t>Volume Control Assessment</t>
  </si>
  <si>
    <t>Achieve I. or II. below in accordance with the Ordinance.</t>
  </si>
  <si>
    <t>Make note of any adjustments made for purposes of detention calcs here (such as removal of roof area that will discharge directly to Waters)</t>
  </si>
  <si>
    <t>Does the development involve flow diversions (existing sewer connection to be relocated to a different main) or multiple sewer connections (only available to sites over 1.75 acres)?</t>
  </si>
  <si>
    <t>City of Chicago</t>
  </si>
  <si>
    <t>Department of Water Mangement</t>
  </si>
  <si>
    <t>Architect / Engineer of Record:</t>
  </si>
  <si>
    <t>Phone No.:</t>
  </si>
  <si>
    <t>Name of Project:</t>
  </si>
  <si>
    <t>Address:</t>
  </si>
  <si>
    <t>A/E of Record:</t>
  </si>
  <si>
    <t>Inflow</t>
  </si>
  <si>
    <t>City of Chicago Intensity-Duration-Frequency (IDF) Curve</t>
  </si>
  <si>
    <t xml:space="preserve"> Existing Area 
(sq ft)</t>
  </si>
  <si>
    <t xml:space="preserve"> Proposed Area 
(sq ft)</t>
  </si>
  <si>
    <t>Infiltration Vault</t>
  </si>
  <si>
    <r>
      <t xml:space="preserve">Design Soil Infiltration Rate (in/hr) </t>
    </r>
    <r>
      <rPr>
        <b/>
        <vertAlign val="superscript"/>
        <sz val="10"/>
        <rFont val="Arial"/>
        <family val="2"/>
      </rPr>
      <t>3</t>
    </r>
  </si>
  <si>
    <t>2. Vegetated Filter strips also are not given credit for a "volume of storage" and should be entered 
    in the pervious land cover section of the Rate Control Spreadsheet based on their cover type.</t>
  </si>
  <si>
    <t>City of Chicago Stormwater Management</t>
  </si>
  <si>
    <t>Summary of Volume Control BMP Storage</t>
  </si>
  <si>
    <t>(Adds net allowable volume control storage from all worksheets)</t>
  </si>
  <si>
    <t>Volume Control Storage Provided (cubic feet)</t>
  </si>
  <si>
    <t>Detention (Infiltration Vaults)</t>
  </si>
  <si>
    <t>Natural Landscaping and Stormwater Trees</t>
  </si>
  <si>
    <t>Section 1 Upstream Drainage Area</t>
  </si>
  <si>
    <t>Upstream impervious area</t>
  </si>
  <si>
    <t>square feet</t>
  </si>
  <si>
    <t>Upstream weighted C-value (C-value=1.0 for bioinfiltration area for direct rainfall)</t>
  </si>
  <si>
    <t>unitless</t>
  </si>
  <si>
    <t>Describe upstream drainage area</t>
  </si>
  <si>
    <t>Describe upstream pretreament or integration of pretreatment into BMP</t>
  </si>
  <si>
    <t>Section 2 BMP Feasibilty</t>
  </si>
  <si>
    <t>i</t>
  </si>
  <si>
    <t>in/hr</t>
  </si>
  <si>
    <t>Depth to seasonal groundwater (Must be 2 feet or greater, or 3.5 feet or greater if draining to combined sewer)</t>
  </si>
  <si>
    <t>feet</t>
  </si>
  <si>
    <t>Section 3 BMP Specifications</t>
  </si>
  <si>
    <t>Dimensions of the bioinfiltration facility (length, width, or area)</t>
  </si>
  <si>
    <t>L</t>
  </si>
  <si>
    <t>W</t>
  </si>
  <si>
    <t>Depth of prepared soil</t>
  </si>
  <si>
    <t>Depth of underlying aggregate (optional)</t>
  </si>
  <si>
    <t>Section 4 BMP Performance</t>
  </si>
  <si>
    <t>Time of Concentration for upstream area (use TR-55 or DWM approved method)</t>
  </si>
  <si>
    <t>minutes</t>
  </si>
  <si>
    <t>I</t>
  </si>
  <si>
    <t>SS</t>
  </si>
  <si>
    <t>ft/ft</t>
  </si>
  <si>
    <t>BW</t>
  </si>
  <si>
    <t>%</t>
  </si>
  <si>
    <t>Manning n</t>
  </si>
  <si>
    <t>Depth of Flow (must be 6 inches or less)</t>
  </si>
  <si>
    <t>2-Year Depth of Flow</t>
  </si>
  <si>
    <t>inches</t>
  </si>
  <si>
    <t>Check to see if selected depth can pass 2-year flow (result must be greater than or equal to 2-year flow in line 8) 
Q = 1.49/n*A*(R^0.67)*(S/100)^0.5</t>
  </si>
  <si>
    <t>Velocity at 6-inch depth of flow</t>
  </si>
  <si>
    <t>Vel</t>
  </si>
  <si>
    <t>ft/sec</t>
  </si>
  <si>
    <t>Check dam height (max = 1 foot)</t>
  </si>
  <si>
    <t>ft</t>
  </si>
  <si>
    <t>Spacing</t>
  </si>
  <si>
    <t>ft/dam</t>
  </si>
  <si>
    <t>Total number of check dams = L/Spacing (round down)</t>
  </si>
  <si>
    <t>dams</t>
  </si>
  <si>
    <t>Depth of underlying aggregate (optional, provision of aggregrate only allowed when minimum infiltration feasibility requirements are met or when underdrains are provided)</t>
  </si>
  <si>
    <t>Width of aggregate layer</t>
  </si>
  <si>
    <t>Section 2 BMP Specifications</t>
  </si>
  <si>
    <t>T</t>
  </si>
  <si>
    <t>Green roof counted toward pervious area (check to see if overall site imperviousness reduction is greater than 15 percent, if so volume control requirements have been met)</t>
  </si>
  <si>
    <t>Upstream weighted C-value</t>
  </si>
  <si>
    <t xml:space="preserve">Describe intended function of system (Is it standalone system designed for infiltration, is it integrated as part of the detention storage?)  </t>
  </si>
  <si>
    <t>Design soil infiltration rate (must be 0.5 in/hr or greater)</t>
  </si>
  <si>
    <t>Allowable depth of storage (distance below outflow invert plus depth of storage aggregate) = (i / 12 inches/ft * 48 hours)</t>
  </si>
  <si>
    <t>Dimensions of the infiltration area (length, width, or area)</t>
  </si>
  <si>
    <t xml:space="preserve">Depth of underlying aggregate </t>
  </si>
  <si>
    <t>Section 1 Impervious Areas and Trees</t>
  </si>
  <si>
    <t>List impervious surfaces that will be effectively reduced by implementation or preservation of trees</t>
  </si>
  <si>
    <t>Area (sf)</t>
  </si>
  <si>
    <t>Number of new trees within 20 feet</t>
  </si>
  <si>
    <t>Number of existing Trees within 20 feet</t>
  </si>
  <si>
    <t>Total canopy size of existing trees</t>
  </si>
  <si>
    <t>Effective Impervious Area  for Volume Control = (Area - Trees Area)</t>
  </si>
  <si>
    <t>Pavement</t>
  </si>
  <si>
    <t>Ponds or wet bottom basins to HWL</t>
  </si>
  <si>
    <t>Section 2 Detailed Tree Listing</t>
  </si>
  <si>
    <t>List trees and attach plan showing location and sizes of all proposed trees
(Attach additional sheets if necessary)</t>
  </si>
  <si>
    <t>Species</t>
  </si>
  <si>
    <t>Caliper at 4.5 feet (must be &gt;2 inch)</t>
  </si>
  <si>
    <t>List trees and attach plan showing location and sizes of all trees to be preserved
(Attach additional sheets if necessary)</t>
  </si>
  <si>
    <t>Caliper at 4.5 feet (must be &gt;4 inch)</t>
  </si>
  <si>
    <t>Existing Canopy (sf)</t>
  </si>
  <si>
    <t>Upstream impervious area including area of permeable pavement</t>
  </si>
  <si>
    <t>Upstream weighted C-value (C-value=0.95 for permeable pavement areas for nearly direct rainfall)</t>
  </si>
  <si>
    <t xml:space="preserve">Describe intended function of system (Is it standalone system designed for infiltration, is integrated as part of the detention storage, is it underdrained to downstream system, will it receive upstream runoff?)  </t>
  </si>
  <si>
    <t>Dimensions of the permeable pavement (length, width, or area)</t>
  </si>
  <si>
    <t>Design soil infiltration rate (must be 0.5 in/hr or greater if planter box is to drain to subsoil)</t>
  </si>
  <si>
    <t>Dimensions of the planter box (length, width, or area)</t>
  </si>
  <si>
    <t>Total capacity of rain barrels or cisterns</t>
  </si>
  <si>
    <t>Dimensions of the filter strip [length L (length parallel to flow must be 20% or greater than the DA flowpath), width W, slope]</t>
  </si>
  <si>
    <t>Slope (1% to 5%)</t>
  </si>
  <si>
    <t>DA Flowpath</t>
  </si>
  <si>
    <t>If minimum design requirements are met, compute minimum impervious area for which swale serves as volume control.  Impervious Area controlled = Filter strip area  (L * W)</t>
  </si>
  <si>
    <t>Impervious Area Controlled</t>
  </si>
  <si>
    <t>Equivalent Volume Control Storage  (V = Area Controlled * 0.5 / 12)</t>
  </si>
  <si>
    <r>
      <t>A</t>
    </r>
    <r>
      <rPr>
        <vertAlign val="subscript"/>
        <sz val="10"/>
        <rFont val="Arial"/>
        <family val="2"/>
      </rPr>
      <t>i</t>
    </r>
  </si>
  <si>
    <r>
      <t>V</t>
    </r>
    <r>
      <rPr>
        <vertAlign val="subscript"/>
        <sz val="10"/>
        <rFont val="Arial"/>
        <family val="2"/>
      </rPr>
      <t>upstream</t>
    </r>
  </si>
  <si>
    <r>
      <t>A</t>
    </r>
    <r>
      <rPr>
        <vertAlign val="subscript"/>
        <sz val="10"/>
        <rFont val="Arial"/>
        <family val="2"/>
      </rPr>
      <t>BMP</t>
    </r>
  </si>
  <si>
    <r>
      <t>D</t>
    </r>
    <r>
      <rPr>
        <vertAlign val="subscript"/>
        <sz val="10"/>
        <rFont val="Arial"/>
        <family val="2"/>
      </rPr>
      <t>1</t>
    </r>
  </si>
  <si>
    <r>
      <t>P</t>
    </r>
    <r>
      <rPr>
        <vertAlign val="subscript"/>
        <sz val="10"/>
        <rFont val="Arial"/>
        <family val="2"/>
      </rPr>
      <t>1</t>
    </r>
  </si>
  <si>
    <r>
      <t>D</t>
    </r>
    <r>
      <rPr>
        <vertAlign val="subscript"/>
        <sz val="10"/>
        <rFont val="Arial"/>
        <family val="2"/>
      </rPr>
      <t>2</t>
    </r>
  </si>
  <si>
    <r>
      <t>P</t>
    </r>
    <r>
      <rPr>
        <vertAlign val="subscript"/>
        <sz val="10"/>
        <rFont val="Arial"/>
        <family val="2"/>
      </rPr>
      <t>2</t>
    </r>
  </si>
  <si>
    <r>
      <t>V</t>
    </r>
    <r>
      <rPr>
        <vertAlign val="subscript"/>
        <sz val="10"/>
        <rFont val="Arial"/>
        <family val="2"/>
      </rPr>
      <t>AIR</t>
    </r>
  </si>
  <si>
    <r>
      <t>V</t>
    </r>
    <r>
      <rPr>
        <vertAlign val="subscript"/>
        <sz val="10"/>
        <rFont val="Arial"/>
        <family val="2"/>
      </rPr>
      <t>SOIL</t>
    </r>
  </si>
  <si>
    <r>
      <t>Storage Provided = V</t>
    </r>
    <r>
      <rPr>
        <vertAlign val="subscript"/>
        <sz val="10"/>
        <rFont val="Arial"/>
        <family val="2"/>
      </rPr>
      <t>AIR</t>
    </r>
    <r>
      <rPr>
        <sz val="10"/>
        <rFont val="Arial"/>
        <family val="0"/>
      </rPr>
      <t xml:space="preserve"> + V</t>
    </r>
    <r>
      <rPr>
        <vertAlign val="subscript"/>
        <sz val="10"/>
        <rFont val="Arial"/>
        <family val="2"/>
      </rPr>
      <t>SOIL</t>
    </r>
  </si>
  <si>
    <r>
      <t>V</t>
    </r>
    <r>
      <rPr>
        <vertAlign val="subscript"/>
        <sz val="10"/>
        <rFont val="Arial"/>
        <family val="2"/>
      </rPr>
      <t>BMP</t>
    </r>
  </si>
  <si>
    <r>
      <t>V</t>
    </r>
    <r>
      <rPr>
        <vertAlign val="subscript"/>
        <sz val="10"/>
        <rFont val="Arial"/>
        <family val="2"/>
      </rPr>
      <t>total</t>
    </r>
    <r>
      <rPr>
        <sz val="10"/>
        <rFont val="Arial"/>
        <family val="0"/>
      </rPr>
      <t xml:space="preserve"> (equals lesser of V</t>
    </r>
    <r>
      <rPr>
        <vertAlign val="subscript"/>
        <sz val="10"/>
        <rFont val="Arial"/>
        <family val="2"/>
      </rPr>
      <t>BMP</t>
    </r>
    <r>
      <rPr>
        <sz val="10"/>
        <rFont val="Arial"/>
        <family val="0"/>
      </rPr>
      <t xml:space="preserve"> or V</t>
    </r>
    <r>
      <rPr>
        <vertAlign val="subscript"/>
        <sz val="10"/>
        <rFont val="Arial"/>
        <family val="2"/>
      </rPr>
      <t>upstream</t>
    </r>
    <r>
      <rPr>
        <sz val="10"/>
        <rFont val="Arial"/>
        <family val="0"/>
      </rPr>
      <t>)</t>
    </r>
  </si>
  <si>
    <r>
      <t>V</t>
    </r>
    <r>
      <rPr>
        <vertAlign val="subscript"/>
        <sz val="10"/>
        <rFont val="Arial"/>
        <family val="2"/>
      </rPr>
      <t>total</t>
    </r>
  </si>
  <si>
    <r>
      <t>T</t>
    </r>
    <r>
      <rPr>
        <vertAlign val="subscript"/>
        <sz val="10"/>
        <rFont val="Arial"/>
        <family val="2"/>
      </rPr>
      <t>c</t>
    </r>
  </si>
  <si>
    <r>
      <t>2-year Rain Intensity based on T</t>
    </r>
    <r>
      <rPr>
        <vertAlign val="subscript"/>
        <sz val="10"/>
        <rFont val="Arial"/>
        <family val="2"/>
      </rPr>
      <t>c</t>
    </r>
    <r>
      <rPr>
        <sz val="10"/>
        <rFont val="Arial"/>
        <family val="0"/>
      </rPr>
      <t xml:space="preserve"> 
(see chart)</t>
    </r>
  </si>
  <si>
    <r>
      <t>2-Year Design Flow: Q = C*I*A</t>
    </r>
    <r>
      <rPr>
        <vertAlign val="subscript"/>
        <sz val="10"/>
        <rFont val="Arial"/>
        <family val="2"/>
      </rPr>
      <t>u</t>
    </r>
    <r>
      <rPr>
        <sz val="10"/>
        <rFont val="Arial"/>
        <family val="2"/>
      </rPr>
      <t>/43560</t>
    </r>
  </si>
  <si>
    <r>
      <t>Q</t>
    </r>
    <r>
      <rPr>
        <vertAlign val="subscript"/>
        <sz val="10"/>
        <rFont val="Arial"/>
        <family val="2"/>
      </rPr>
      <t>2</t>
    </r>
  </si>
  <si>
    <r>
      <t>Q</t>
    </r>
    <r>
      <rPr>
        <vertAlign val="subscript"/>
        <sz val="10"/>
        <rFont val="Arial"/>
        <family val="2"/>
      </rPr>
      <t>swale</t>
    </r>
  </si>
  <si>
    <r>
      <t>H</t>
    </r>
    <r>
      <rPr>
        <vertAlign val="subscript"/>
        <sz val="10"/>
        <rFont val="Arial"/>
        <family val="2"/>
      </rPr>
      <t>dam</t>
    </r>
  </si>
  <si>
    <r>
      <t>Check dam area = BW*H</t>
    </r>
    <r>
      <rPr>
        <vertAlign val="subscript"/>
        <sz val="10"/>
        <rFont val="Arial"/>
        <family val="2"/>
      </rPr>
      <t>dam</t>
    </r>
    <r>
      <rPr>
        <sz val="10"/>
        <rFont val="Arial"/>
        <family val="0"/>
      </rPr>
      <t>+SS*H</t>
    </r>
    <r>
      <rPr>
        <vertAlign val="subscript"/>
        <sz val="10"/>
        <rFont val="Arial"/>
        <family val="2"/>
      </rPr>
      <t>dam</t>
    </r>
    <r>
      <rPr>
        <sz val="10"/>
        <rFont val="Arial"/>
        <family val="0"/>
      </rPr>
      <t>^2</t>
    </r>
  </si>
  <si>
    <r>
      <t>A</t>
    </r>
    <r>
      <rPr>
        <vertAlign val="subscript"/>
        <sz val="10"/>
        <rFont val="Arial"/>
        <family val="2"/>
      </rPr>
      <t>dam</t>
    </r>
  </si>
  <si>
    <r>
      <t>Spacing of dams = H</t>
    </r>
    <r>
      <rPr>
        <vertAlign val="subscript"/>
        <sz val="10"/>
        <rFont val="Arial"/>
        <family val="2"/>
      </rPr>
      <t>dam</t>
    </r>
    <r>
      <rPr>
        <sz val="10"/>
        <rFont val="Arial"/>
        <family val="0"/>
      </rPr>
      <t>/Slope</t>
    </r>
  </si>
  <si>
    <r>
      <t>N</t>
    </r>
    <r>
      <rPr>
        <vertAlign val="subscript"/>
        <sz val="10"/>
        <rFont val="Arial"/>
        <family val="2"/>
      </rPr>
      <t>dam</t>
    </r>
  </si>
  <si>
    <r>
      <t>Check dam storage = N</t>
    </r>
    <r>
      <rPr>
        <vertAlign val="subscript"/>
        <sz val="10"/>
        <rFont val="Arial"/>
        <family val="2"/>
      </rPr>
      <t>dam</t>
    </r>
    <r>
      <rPr>
        <sz val="10"/>
        <rFont val="Arial"/>
        <family val="0"/>
      </rPr>
      <t>*A</t>
    </r>
    <r>
      <rPr>
        <vertAlign val="subscript"/>
        <sz val="10"/>
        <rFont val="Arial"/>
        <family val="2"/>
      </rPr>
      <t>dam</t>
    </r>
    <r>
      <rPr>
        <sz val="10"/>
        <rFont val="Arial"/>
        <family val="0"/>
      </rPr>
      <t>*Spacing/2</t>
    </r>
  </si>
  <si>
    <r>
      <t>V</t>
    </r>
    <r>
      <rPr>
        <vertAlign val="subscript"/>
        <sz val="10"/>
        <rFont val="Arial"/>
        <family val="2"/>
      </rPr>
      <t>dam</t>
    </r>
  </si>
  <si>
    <r>
      <t>D</t>
    </r>
    <r>
      <rPr>
        <vertAlign val="subscript"/>
        <sz val="10"/>
        <rFont val="Arial"/>
        <family val="2"/>
      </rPr>
      <t>soil</t>
    </r>
  </si>
  <si>
    <r>
      <t>P</t>
    </r>
    <r>
      <rPr>
        <vertAlign val="subscript"/>
        <sz val="10"/>
        <rFont val="Arial"/>
        <family val="2"/>
      </rPr>
      <t>soil</t>
    </r>
  </si>
  <si>
    <r>
      <t>V</t>
    </r>
    <r>
      <rPr>
        <vertAlign val="subscript"/>
        <sz val="10"/>
        <rFont val="Arial"/>
        <family val="2"/>
      </rPr>
      <t>soil</t>
    </r>
  </si>
  <si>
    <r>
      <t>D</t>
    </r>
    <r>
      <rPr>
        <vertAlign val="subscript"/>
        <sz val="10"/>
        <rFont val="Arial"/>
        <family val="2"/>
      </rPr>
      <t>agg</t>
    </r>
  </si>
  <si>
    <r>
      <t>W</t>
    </r>
    <r>
      <rPr>
        <vertAlign val="subscript"/>
        <sz val="10"/>
        <rFont val="Arial"/>
        <family val="2"/>
      </rPr>
      <t>agg</t>
    </r>
  </si>
  <si>
    <r>
      <t>P</t>
    </r>
    <r>
      <rPr>
        <vertAlign val="subscript"/>
        <sz val="10"/>
        <rFont val="Arial"/>
        <family val="2"/>
      </rPr>
      <t>agg</t>
    </r>
  </si>
  <si>
    <r>
      <t>Aggregate storage volume = L*W</t>
    </r>
    <r>
      <rPr>
        <vertAlign val="subscript"/>
        <sz val="10"/>
        <rFont val="Arial"/>
        <family val="2"/>
      </rPr>
      <t>agg</t>
    </r>
    <r>
      <rPr>
        <sz val="10"/>
        <rFont val="Arial"/>
        <family val="0"/>
      </rPr>
      <t>*D</t>
    </r>
    <r>
      <rPr>
        <vertAlign val="subscript"/>
        <sz val="10"/>
        <rFont val="Arial"/>
        <family val="2"/>
      </rPr>
      <t>agg</t>
    </r>
    <r>
      <rPr>
        <sz val="10"/>
        <rFont val="Arial"/>
        <family val="0"/>
      </rPr>
      <t>*P</t>
    </r>
    <r>
      <rPr>
        <vertAlign val="subscript"/>
        <sz val="10"/>
        <rFont val="Arial"/>
        <family val="2"/>
      </rPr>
      <t>agg</t>
    </r>
  </si>
  <si>
    <r>
      <t>V</t>
    </r>
    <r>
      <rPr>
        <vertAlign val="subscript"/>
        <sz val="10"/>
        <rFont val="Arial"/>
        <family val="2"/>
      </rPr>
      <t>agg</t>
    </r>
  </si>
  <si>
    <r>
      <t>Storage Provided = V</t>
    </r>
    <r>
      <rPr>
        <vertAlign val="subscript"/>
        <sz val="10"/>
        <rFont val="Arial"/>
        <family val="2"/>
      </rPr>
      <t>dam</t>
    </r>
    <r>
      <rPr>
        <sz val="10"/>
        <rFont val="Arial"/>
        <family val="0"/>
      </rPr>
      <t xml:space="preserve"> + V</t>
    </r>
    <r>
      <rPr>
        <vertAlign val="subscript"/>
        <sz val="10"/>
        <rFont val="Arial"/>
        <family val="2"/>
      </rPr>
      <t>soil</t>
    </r>
    <r>
      <rPr>
        <sz val="10"/>
        <rFont val="Arial"/>
        <family val="0"/>
      </rPr>
      <t xml:space="preserve"> + V</t>
    </r>
    <r>
      <rPr>
        <vertAlign val="subscript"/>
        <sz val="10"/>
        <rFont val="Arial"/>
        <family val="2"/>
      </rPr>
      <t>agg</t>
    </r>
  </si>
  <si>
    <r>
      <t>A</t>
    </r>
    <r>
      <rPr>
        <vertAlign val="subscript"/>
        <sz val="10"/>
        <rFont val="Arial"/>
        <family val="2"/>
      </rPr>
      <t>G</t>
    </r>
  </si>
  <si>
    <r>
      <t>V</t>
    </r>
    <r>
      <rPr>
        <vertAlign val="subscript"/>
        <sz val="10"/>
        <rFont val="Arial"/>
        <family val="0"/>
      </rPr>
      <t>upstream</t>
    </r>
  </si>
  <si>
    <r>
      <t>D</t>
    </r>
    <r>
      <rPr>
        <vertAlign val="subscript"/>
        <sz val="10"/>
        <rFont val="Arial"/>
        <family val="2"/>
      </rPr>
      <t>allow</t>
    </r>
  </si>
  <si>
    <r>
      <t>A</t>
    </r>
    <r>
      <rPr>
        <vertAlign val="subscript"/>
        <sz val="10"/>
        <rFont val="Arial"/>
        <family val="0"/>
      </rPr>
      <t>BMP</t>
    </r>
  </si>
  <si>
    <r>
      <t>Depth of open storage (distance between vault outflow invert and top of aggregate/infiltration bed (D</t>
    </r>
    <r>
      <rPr>
        <vertAlign val="subscript"/>
        <sz val="10"/>
        <rFont val="Arial"/>
        <family val="2"/>
      </rPr>
      <t>1</t>
    </r>
    <r>
      <rPr>
        <sz val="10"/>
        <rFont val="Arial"/>
        <family val="0"/>
      </rPr>
      <t xml:space="preserve"> plus D</t>
    </r>
    <r>
      <rPr>
        <vertAlign val="subscript"/>
        <sz val="10"/>
        <rFont val="Arial"/>
        <family val="2"/>
      </rPr>
      <t>2</t>
    </r>
    <r>
      <rPr>
        <sz val="10"/>
        <rFont val="Arial"/>
        <family val="0"/>
      </rPr>
      <t xml:space="preserve"> must be less than D</t>
    </r>
    <r>
      <rPr>
        <vertAlign val="subscript"/>
        <sz val="10"/>
        <rFont val="Arial"/>
        <family val="2"/>
      </rPr>
      <t>allow</t>
    </r>
    <r>
      <rPr>
        <sz val="10"/>
        <rFont val="Arial"/>
        <family val="0"/>
      </rPr>
      <t>)</t>
    </r>
  </si>
  <si>
    <r>
      <t>D</t>
    </r>
    <r>
      <rPr>
        <vertAlign val="subscript"/>
        <sz val="10"/>
        <rFont val="Arial"/>
        <family val="0"/>
      </rPr>
      <t>1</t>
    </r>
  </si>
  <si>
    <r>
      <t>D</t>
    </r>
    <r>
      <rPr>
        <vertAlign val="subscript"/>
        <sz val="10"/>
        <rFont val="Arial"/>
        <family val="0"/>
      </rPr>
      <t>2</t>
    </r>
  </si>
  <si>
    <r>
      <t>P</t>
    </r>
    <r>
      <rPr>
        <vertAlign val="subscript"/>
        <sz val="10"/>
        <rFont val="Arial"/>
        <family val="0"/>
      </rPr>
      <t>1</t>
    </r>
  </si>
  <si>
    <r>
      <t>V</t>
    </r>
    <r>
      <rPr>
        <vertAlign val="subscript"/>
        <sz val="10"/>
        <rFont val="Arial"/>
        <family val="0"/>
      </rPr>
      <t>BMP</t>
    </r>
  </si>
  <si>
    <r>
      <t>Volume Control Storage Provided = V</t>
    </r>
    <r>
      <rPr>
        <vertAlign val="subscript"/>
        <sz val="10"/>
        <rFont val="Arial"/>
        <family val="2"/>
      </rPr>
      <t>BMP</t>
    </r>
  </si>
  <si>
    <r>
      <t>Depth of underlying aggregate 
(must be less than D</t>
    </r>
    <r>
      <rPr>
        <vertAlign val="subscript"/>
        <sz val="10"/>
        <rFont val="Arial"/>
        <family val="2"/>
      </rPr>
      <t>allow</t>
    </r>
    <r>
      <rPr>
        <sz val="10"/>
        <rFont val="Arial"/>
        <family val="2"/>
      </rPr>
      <t>)</t>
    </r>
  </si>
  <si>
    <r>
      <t>Volume of Aggregate storage applicable to volume control = A</t>
    </r>
    <r>
      <rPr>
        <vertAlign val="subscript"/>
        <sz val="10"/>
        <rFont val="Arial"/>
        <family val="0"/>
      </rPr>
      <t>BMP</t>
    </r>
    <r>
      <rPr>
        <sz val="10"/>
        <rFont val="Arial"/>
        <family val="0"/>
      </rPr>
      <t xml:space="preserve"> * D</t>
    </r>
    <r>
      <rPr>
        <vertAlign val="subscript"/>
        <sz val="10"/>
        <rFont val="Arial"/>
        <family val="2"/>
      </rPr>
      <t>1</t>
    </r>
    <r>
      <rPr>
        <sz val="10"/>
        <rFont val="Arial"/>
        <family val="0"/>
      </rPr>
      <t>*P</t>
    </r>
    <r>
      <rPr>
        <vertAlign val="subscript"/>
        <sz val="10"/>
        <rFont val="Arial"/>
        <family val="0"/>
      </rPr>
      <t>1</t>
    </r>
  </si>
  <si>
    <r>
      <t>V</t>
    </r>
    <r>
      <rPr>
        <vertAlign val="subscript"/>
        <sz val="10"/>
        <rFont val="Arial"/>
        <family val="2"/>
      </rPr>
      <t>CIS</t>
    </r>
  </si>
  <si>
    <r>
      <t>Check effective tributary flow length (must be less than 75 feet and level spreader required if not a uniformly sloping surface) Effective flow path of drainage area = A</t>
    </r>
    <r>
      <rPr>
        <vertAlign val="subscript"/>
        <sz val="10"/>
        <rFont val="Arial"/>
        <family val="2"/>
      </rPr>
      <t>i</t>
    </r>
    <r>
      <rPr>
        <sz val="10"/>
        <rFont val="Arial"/>
        <family val="0"/>
      </rPr>
      <t>/W</t>
    </r>
  </si>
  <si>
    <t>(FOR COMPUTATIONS AND REFERENCE)</t>
  </si>
  <si>
    <t>INDEX OF SPREADSHEETS</t>
  </si>
  <si>
    <t>COVER</t>
  </si>
  <si>
    <t>1.1 Dry Weather Flow</t>
  </si>
  <si>
    <t>1.2 BMPs-Rate Control Credit</t>
  </si>
  <si>
    <t>1.2 BMPs for Rate Control Credit</t>
  </si>
  <si>
    <t>1.0 RATE CONTROL</t>
  </si>
  <si>
    <t>2.0 VOLUME CONTROL</t>
  </si>
  <si>
    <t>2.1 BMP Volume Summary</t>
  </si>
  <si>
    <t>2.1.1 Bioinfiltration</t>
  </si>
  <si>
    <t>2.1.3 Green Roof</t>
  </si>
  <si>
    <t>2.1.2 Drainage Swales</t>
  </si>
  <si>
    <t>2.1.4 Infiltration Vault</t>
  </si>
  <si>
    <t>2.1.5 Trees</t>
  </si>
  <si>
    <t>2.1.6 Permeable Pavement</t>
  </si>
  <si>
    <t xml:space="preserve">2.1.5 Stormwater Trees </t>
  </si>
  <si>
    <t xml:space="preserve">2.1.4 Infiltration Vault </t>
  </si>
  <si>
    <t xml:space="preserve">2.1.3 Green Roof </t>
  </si>
  <si>
    <t xml:space="preserve">2.1.2 Drainage Swales </t>
  </si>
  <si>
    <t xml:space="preserve">2.1.1 Bioinfiltration Systems </t>
  </si>
  <si>
    <t>2.0 Volume Control</t>
  </si>
  <si>
    <t xml:space="preserve">2.1 BMP Volume Summary </t>
  </si>
  <si>
    <t>Total Provided</t>
  </si>
  <si>
    <t>2.1.8 Filter Strips Worksheet</t>
  </si>
  <si>
    <t xml:space="preserve">2.1.6 Permeable Pavement </t>
  </si>
  <si>
    <t>1.0 Rate Control (Sheet 1 of 2)</t>
  </si>
  <si>
    <t>1.0 Rate Control (Sheet 2 of 2)</t>
  </si>
  <si>
    <t>This summary worksheet provides information for BMPs for use in the Rate Control Spreadsheet.</t>
  </si>
  <si>
    <t>Storage provided should be from the computation made on the each individual BMP spreadsheet (2.1.1 to 2.1.8).</t>
  </si>
  <si>
    <t>Type "yes" to Select</t>
  </si>
  <si>
    <t>Dimensions of the drainage swale 
[length L, side slope SS, bottom width (BW), swale flowline Slope, Manning's n]</t>
  </si>
  <si>
    <t>Required&gt;&gt;</t>
  </si>
  <si>
    <t>BMP Infiltration Area (sq. ft.)</t>
  </si>
  <si>
    <t>Depth of surface storage</t>
  </si>
  <si>
    <r>
      <t>D</t>
    </r>
    <r>
      <rPr>
        <vertAlign val="subscript"/>
        <sz val="10"/>
        <rFont val="Arial"/>
        <family val="2"/>
      </rPr>
      <t>3</t>
    </r>
  </si>
  <si>
    <r>
      <t>Air space storage volume (A</t>
    </r>
    <r>
      <rPr>
        <vertAlign val="subscript"/>
        <sz val="10"/>
        <rFont val="Arial"/>
        <family val="2"/>
      </rPr>
      <t>BMP</t>
    </r>
    <r>
      <rPr>
        <sz val="10"/>
        <rFont val="Arial"/>
        <family val="0"/>
      </rPr>
      <t xml:space="preserve"> * D</t>
    </r>
    <r>
      <rPr>
        <vertAlign val="subscript"/>
        <sz val="10"/>
        <rFont val="Arial"/>
        <family val="2"/>
      </rPr>
      <t>1</t>
    </r>
    <r>
      <rPr>
        <sz val="10"/>
        <rFont val="Arial"/>
        <family val="0"/>
      </rPr>
      <t>)</t>
    </r>
  </si>
  <si>
    <t>1. Natural landscaping areas do not have specific storage, they can simply be entered on Rate Control 
    Spreadsheet as having a C-value of 0.1.  Detention Credit is not given for stormwater trees.</t>
  </si>
  <si>
    <t>3. Infiltration rate must be the design infiltration rate as explained in Stormwater Manual. If the 
infiltration rate is less than 0.5 in/hr, credit cannot be taken for infiltration and the Allowable Infiltration Release is set to zero.  This value is automatically copied from each respective BMP spreadsheet.</t>
  </si>
  <si>
    <t>INDEX</t>
  </si>
  <si>
    <t>BMP Areas with Storage NOT COUNTED toward Rate Control Volume</t>
  </si>
  <si>
    <t>BMP Areas with Storage COUNTED toward Rate Control Volume</t>
  </si>
  <si>
    <t>Total BMP areas treated as impervious area (sq ft)</t>
  </si>
  <si>
    <t>Total BMP areas treated as pervious area (sq ft)</t>
  </si>
  <si>
    <t>Volume of upstream runoff (Line 4)</t>
  </si>
  <si>
    <t>Volume of upstream runoff (Line 3)</t>
  </si>
  <si>
    <t>2.1.7 Roof Runoff BMPs - Planter Boxes</t>
  </si>
  <si>
    <t xml:space="preserve">Describe system (Wwhat are the sizes and numbers of rain barrels or cisterns?) </t>
  </si>
  <si>
    <t xml:space="preserve">Describe system (Will planter box include aggregate, does it drain to underlying soils, is it underdrained to the stormater management system) </t>
  </si>
  <si>
    <t>Number / Designation</t>
  </si>
  <si>
    <t>Volume</t>
  </si>
  <si>
    <t>Total capacity of rain barrels</t>
  </si>
  <si>
    <r>
      <t>V</t>
    </r>
    <r>
      <rPr>
        <vertAlign val="subscript"/>
        <sz val="10"/>
        <rFont val="Arial"/>
        <family val="2"/>
      </rPr>
      <t>RB</t>
    </r>
  </si>
  <si>
    <t>List Rain Barrels and attach plan showing location and sizes of all rain barrels
(Attach additional sheets if necessary)</t>
  </si>
  <si>
    <t>List Cisterns and attach plan showing location and sizes of all cisterns.
(Attach additional sheets if necessary)</t>
  </si>
  <si>
    <r>
      <t>V</t>
    </r>
    <r>
      <rPr>
        <vertAlign val="subscript"/>
        <sz val="10"/>
        <rFont val="Arial"/>
        <family val="2"/>
      </rPr>
      <t>BMP</t>
    </r>
    <r>
      <rPr>
        <sz val="10"/>
        <rFont val="Arial"/>
        <family val="0"/>
      </rPr>
      <t xml:space="preserve"> = V</t>
    </r>
    <r>
      <rPr>
        <vertAlign val="subscript"/>
        <sz val="10"/>
        <rFont val="Arial"/>
        <family val="2"/>
      </rPr>
      <t>RB</t>
    </r>
    <r>
      <rPr>
        <sz val="10"/>
        <rFont val="Arial"/>
        <family val="0"/>
      </rPr>
      <t xml:space="preserve"> + V</t>
    </r>
    <r>
      <rPr>
        <vertAlign val="subscript"/>
        <sz val="10"/>
        <rFont val="Arial"/>
        <family val="2"/>
      </rPr>
      <t>CIS</t>
    </r>
  </si>
  <si>
    <r>
      <t>Storage Provided = V</t>
    </r>
    <r>
      <rPr>
        <vertAlign val="subscript"/>
        <sz val="10"/>
        <rFont val="Arial"/>
        <family val="2"/>
      </rPr>
      <t>BMP</t>
    </r>
  </si>
  <si>
    <t>Volume of upstream impervious area runoff (Line 2)</t>
  </si>
  <si>
    <t>Storage Required if % Impervious Reduction is not met
(from 2.0 Volume Control)</t>
  </si>
  <si>
    <t>Bioinfiltration</t>
  </si>
  <si>
    <t>Swales</t>
  </si>
  <si>
    <t>Stormwater Trees</t>
  </si>
  <si>
    <t>Roof Runoff Planters</t>
  </si>
  <si>
    <t>Filter Strips</t>
  </si>
  <si>
    <t>Water (including Wet Bottom Basin to HWL)</t>
  </si>
  <si>
    <t>Dry Bottom Basins to HWL</t>
  </si>
  <si>
    <t>2.1.7 Roof Runoff BMPs - Rain Barrels / Cisterns</t>
  </si>
  <si>
    <t>2.1.8 Filter Strips</t>
  </si>
  <si>
    <t>2.1.7.1 Roof Runoff BMPs - Planter Boxes</t>
  </si>
  <si>
    <t>2.1.7.2 Roof Runoff BMPs - Rain Barrels / Cisterns</t>
  </si>
  <si>
    <r>
      <t>Soil storage volume = L*BW</t>
    </r>
    <r>
      <rPr>
        <sz val="10"/>
        <rFont val="Arial"/>
        <family val="0"/>
      </rPr>
      <t>*D</t>
    </r>
    <r>
      <rPr>
        <vertAlign val="subscript"/>
        <sz val="10"/>
        <rFont val="Arial"/>
        <family val="2"/>
      </rPr>
      <t>soil</t>
    </r>
    <r>
      <rPr>
        <sz val="10"/>
        <rFont val="Arial"/>
        <family val="0"/>
      </rPr>
      <t>*P</t>
    </r>
    <r>
      <rPr>
        <vertAlign val="subscript"/>
        <sz val="10"/>
        <rFont val="Arial"/>
        <family val="2"/>
      </rPr>
      <t>soil</t>
    </r>
  </si>
  <si>
    <r>
      <t>A</t>
    </r>
    <r>
      <rPr>
        <vertAlign val="subscript"/>
        <sz val="10"/>
        <rFont val="Arial"/>
        <family val="2"/>
      </rPr>
      <t>t</t>
    </r>
  </si>
  <si>
    <t>Elevation of bottom of BMP (the infiltration surface)</t>
  </si>
  <si>
    <t>Groundwater elevation</t>
  </si>
  <si>
    <r>
      <t>ELEV</t>
    </r>
    <r>
      <rPr>
        <vertAlign val="subscript"/>
        <sz val="10"/>
        <rFont val="Arial"/>
        <family val="2"/>
      </rPr>
      <t>GW</t>
    </r>
  </si>
  <si>
    <r>
      <t>ELEV</t>
    </r>
    <r>
      <rPr>
        <vertAlign val="subscript"/>
        <sz val="10"/>
        <rFont val="Arial"/>
        <family val="2"/>
      </rPr>
      <t>BMP</t>
    </r>
  </si>
  <si>
    <r>
      <t>D</t>
    </r>
    <r>
      <rPr>
        <vertAlign val="subscript"/>
        <sz val="10"/>
        <rFont val="Arial"/>
        <family val="2"/>
      </rPr>
      <t>GW</t>
    </r>
  </si>
  <si>
    <t>Elevation of filter strip surface</t>
  </si>
  <si>
    <t>Aggregate Storage (Line 28)</t>
  </si>
  <si>
    <t>Soil Storage (Line 24)</t>
  </si>
  <si>
    <t>Check Dam Storage (Line 21)</t>
  </si>
  <si>
    <t>Allowable depth of storage aggregate without provision of underdrain (=i/ 12 inches/ft * 48 hours)</t>
  </si>
  <si>
    <t>The DWF (with peaking factor) should be based on the number of fixture units (FTU), reference the Municipal Building Code, Table 18.29-1108.1.  The conversion from the number of fixture units to drainage area (sf) to peak DWF (cfs) is as follows:</t>
  </si>
  <si>
    <t xml:space="preserve">Drainage area </t>
  </si>
  <si>
    <t xml:space="preserve">= [(FTU – 150) * 7.2] + 4850 sf </t>
  </si>
  <si>
    <t xml:space="preserve">Peak DWF </t>
  </si>
  <si>
    <t>= Drainage Area / 43,560 sf/acre * 1.0 cfs/acre</t>
  </si>
  <si>
    <t>Aggregate porosity (0.38 maximum unless detailed materials report provided)</t>
  </si>
  <si>
    <t>Prepared soil porosity (0.25 maximum unless detailed materials report provided)</t>
  </si>
  <si>
    <t>Section 1 BMP Specifications</t>
  </si>
  <si>
    <t>Section 2 BMP Performance</t>
  </si>
  <si>
    <t>Volume control when green roof treated as a pervious surface</t>
  </si>
  <si>
    <t>Dimensions of the green roof (length L, width W, substrate thickness T)</t>
  </si>
  <si>
    <t>Other areas (ie reduce pavement area if permeable pavement implemented)should adjusted such that Line 35 on Rate Control Worksheet equals total site area.</t>
  </si>
  <si>
    <t xml:space="preserve">Total area of BMPs will carry over to Rate Control Worksheet. </t>
  </si>
  <si>
    <t>BMPs providing volume control storage that WILL NOT BE COUNTED toward detention 
(from Worksheet 1.2)</t>
  </si>
  <si>
    <t>BMPs providing storage that WILL COUNT toward detention storage 
(from Worksheet 1.2)</t>
  </si>
  <si>
    <t>Storage Provided will be used to factor the adjusted C-value in Cell D38</t>
  </si>
  <si>
    <t>Go to spreadsheet 2.1 BMP Volume Summary if electing volume control storage option</t>
  </si>
  <si>
    <t>Stormwater Spreadsheet Tool</t>
  </si>
  <si>
    <t xml:space="preserve">This spreadsheet tool has been prepared to assist the applicant in preparing calculations </t>
  </si>
  <si>
    <t>for simple sites.  The applicant is responsible for ensuring that submitted calculations are</t>
  </si>
  <si>
    <t>correct.  If necessary, supporting hand calculations should be prepared and submitted.</t>
  </si>
  <si>
    <t>Surface storage volume (provide supporting calculations, max depth 12 inches)</t>
  </si>
  <si>
    <t>Color Coding</t>
  </si>
  <si>
    <t>- Cell Includes Comment (when cursor is over it)</t>
  </si>
  <si>
    <t>- Cell Contents Computed by Spreadsheet</t>
  </si>
  <si>
    <t>- Cell for User Entry</t>
  </si>
  <si>
    <t>Do you wish to use permeable pavement only as a pervious surface to achieve impervious surface reduction goal?</t>
  </si>
  <si>
    <t>Department of Water Management</t>
  </si>
  <si>
    <t>Maximum Release Rate for Rate Control (automatically entered from cell G73 on Rate Control worksheet)</t>
  </si>
  <si>
    <r>
      <t>Soil media storage volume = A</t>
    </r>
    <r>
      <rPr>
        <vertAlign val="subscript"/>
        <sz val="10"/>
        <rFont val="Arial"/>
        <family val="2"/>
      </rPr>
      <t>BMP</t>
    </r>
    <r>
      <rPr>
        <sz val="10"/>
        <rFont val="Arial"/>
        <family val="0"/>
      </rPr>
      <t xml:space="preserve"> * [(D</t>
    </r>
    <r>
      <rPr>
        <vertAlign val="subscript"/>
        <sz val="10"/>
        <rFont val="Arial"/>
        <family val="2"/>
      </rPr>
      <t>1</t>
    </r>
    <r>
      <rPr>
        <sz val="10"/>
        <rFont val="Arial"/>
        <family val="0"/>
      </rPr>
      <t xml:space="preserve"> * P</t>
    </r>
    <r>
      <rPr>
        <vertAlign val="subscript"/>
        <sz val="10"/>
        <rFont val="Arial"/>
        <family val="2"/>
      </rPr>
      <t>1</t>
    </r>
    <r>
      <rPr>
        <sz val="10"/>
        <rFont val="Arial"/>
        <family val="0"/>
      </rPr>
      <t>) + (D</t>
    </r>
    <r>
      <rPr>
        <vertAlign val="subscript"/>
        <sz val="10"/>
        <rFont val="Arial"/>
        <family val="2"/>
      </rPr>
      <t>2</t>
    </r>
    <r>
      <rPr>
        <sz val="10"/>
        <rFont val="Arial"/>
        <family val="0"/>
      </rPr>
      <t xml:space="preserve"> * P</t>
    </r>
    <r>
      <rPr>
        <vertAlign val="subscript"/>
        <sz val="10"/>
        <rFont val="Arial"/>
        <family val="2"/>
      </rPr>
      <t>2</t>
    </r>
    <r>
      <rPr>
        <sz val="10"/>
        <rFont val="Arial"/>
        <family val="0"/>
      </rPr>
      <t>)]</t>
    </r>
  </si>
  <si>
    <r>
      <t>P</t>
    </r>
    <r>
      <rPr>
        <vertAlign val="subscript"/>
        <sz val="10"/>
        <rFont val="Arial"/>
        <family val="0"/>
      </rPr>
      <t>2</t>
    </r>
  </si>
  <si>
    <r>
      <t>Storage applicable to volume control = (A</t>
    </r>
    <r>
      <rPr>
        <vertAlign val="subscript"/>
        <sz val="10"/>
        <rFont val="Arial"/>
        <family val="0"/>
      </rPr>
      <t>BMP</t>
    </r>
    <r>
      <rPr>
        <sz val="10"/>
        <rFont val="Arial"/>
        <family val="0"/>
      </rPr>
      <t xml:space="preserve"> * D</t>
    </r>
    <r>
      <rPr>
        <vertAlign val="subscript"/>
        <sz val="10"/>
        <rFont val="Arial"/>
        <family val="2"/>
      </rPr>
      <t>1</t>
    </r>
    <r>
      <rPr>
        <sz val="10"/>
        <rFont val="Arial"/>
        <family val="0"/>
      </rPr>
      <t>)+(A</t>
    </r>
    <r>
      <rPr>
        <vertAlign val="subscript"/>
        <sz val="10"/>
        <rFont val="Arial"/>
        <family val="2"/>
      </rPr>
      <t>BMP</t>
    </r>
    <r>
      <rPr>
        <sz val="10"/>
        <rFont val="Arial"/>
        <family val="0"/>
      </rPr>
      <t xml:space="preserve"> * D</t>
    </r>
    <r>
      <rPr>
        <vertAlign val="subscript"/>
        <sz val="10"/>
        <rFont val="Arial"/>
        <family val="2"/>
      </rPr>
      <t>2</t>
    </r>
    <r>
      <rPr>
        <sz val="10"/>
        <rFont val="Arial"/>
        <family val="0"/>
      </rPr>
      <t xml:space="preserve"> * P</t>
    </r>
    <r>
      <rPr>
        <vertAlign val="subscript"/>
        <sz val="10"/>
        <rFont val="Arial"/>
        <family val="0"/>
      </rPr>
      <t>2</t>
    </r>
    <r>
      <rPr>
        <sz val="10"/>
        <rFont val="Arial"/>
        <family val="2"/>
      </rPr>
      <t>)</t>
    </r>
  </si>
  <si>
    <r>
      <t>P</t>
    </r>
    <r>
      <rPr>
        <vertAlign val="subscript"/>
        <sz val="10"/>
        <rFont val="Arial"/>
        <family val="2"/>
      </rPr>
      <t>3</t>
    </r>
  </si>
  <si>
    <r>
      <t>Planter box soil media storage volume = A</t>
    </r>
    <r>
      <rPr>
        <vertAlign val="subscript"/>
        <sz val="10"/>
        <rFont val="Arial"/>
        <family val="2"/>
      </rPr>
      <t>BMP</t>
    </r>
    <r>
      <rPr>
        <sz val="10"/>
        <rFont val="Arial"/>
        <family val="0"/>
      </rPr>
      <t xml:space="preserve"> * [(D</t>
    </r>
    <r>
      <rPr>
        <vertAlign val="subscript"/>
        <sz val="10"/>
        <rFont val="Arial"/>
        <family val="2"/>
      </rPr>
      <t>2</t>
    </r>
    <r>
      <rPr>
        <sz val="10"/>
        <rFont val="Arial"/>
        <family val="0"/>
      </rPr>
      <t xml:space="preserve"> * P</t>
    </r>
    <r>
      <rPr>
        <vertAlign val="subscript"/>
        <sz val="10"/>
        <rFont val="Arial"/>
        <family val="2"/>
      </rPr>
      <t>2</t>
    </r>
    <r>
      <rPr>
        <sz val="10"/>
        <rFont val="Arial"/>
        <family val="0"/>
      </rPr>
      <t>) + (D</t>
    </r>
    <r>
      <rPr>
        <vertAlign val="subscript"/>
        <sz val="10"/>
        <rFont val="Arial"/>
        <family val="2"/>
      </rPr>
      <t>3</t>
    </r>
    <r>
      <rPr>
        <sz val="10"/>
        <rFont val="Arial"/>
        <family val="0"/>
      </rPr>
      <t xml:space="preserve"> * P</t>
    </r>
    <r>
      <rPr>
        <vertAlign val="subscript"/>
        <sz val="10"/>
        <rFont val="Arial"/>
        <family val="2"/>
      </rPr>
      <t>3</t>
    </r>
    <r>
      <rPr>
        <sz val="10"/>
        <rFont val="Arial"/>
        <family val="0"/>
      </rPr>
      <t>)]</t>
    </r>
  </si>
  <si>
    <t>Hospitals</t>
  </si>
  <si>
    <t>per bed space</t>
  </si>
  <si>
    <t>Hotels (w/laundry)</t>
  </si>
  <si>
    <t>per room</t>
  </si>
  <si>
    <t>Single Family</t>
  </si>
  <si>
    <t>per home</t>
  </si>
  <si>
    <t>Multi-Family - 3 bedroom</t>
  </si>
  <si>
    <t>per unit</t>
  </si>
  <si>
    <t>Multi-Family - 2 bedroom</t>
  </si>
  <si>
    <t>Multi-Family - 1 bedroom</t>
  </si>
  <si>
    <t>Hotels (w/o laundry)</t>
  </si>
  <si>
    <t>Studio Apartment</t>
  </si>
  <si>
    <t>Convention Center</t>
  </si>
  <si>
    <t>per patron</t>
  </si>
  <si>
    <t>per person</t>
  </si>
  <si>
    <t>per person, per shift</t>
  </si>
  <si>
    <t>Average Gallons per Day (gpd)</t>
  </si>
  <si>
    <t>Quantity</t>
  </si>
  <si>
    <t>Restaurant (w/ lounge)</t>
  </si>
  <si>
    <t>Restaurant (w/o lounge)</t>
  </si>
  <si>
    <t>Office</t>
  </si>
  <si>
    <t>Date:</t>
  </si>
  <si>
    <t>1. DOB Tracking/Permit Number:</t>
  </si>
  <si>
    <t>2. Name of Project:</t>
  </si>
  <si>
    <t>3. Address of Site:</t>
  </si>
  <si>
    <t>4. Description of Proposed Work:</t>
  </si>
  <si>
    <t>5. Use of Building (if applicable):</t>
  </si>
  <si>
    <t>Upstream impervious area including BMP area</t>
  </si>
  <si>
    <t>Question 7:</t>
  </si>
  <si>
    <t>Are there widespread contaminated soils on the site, high ground water table, or is this development classified as a lot-to-lot building?</t>
  </si>
  <si>
    <t>2.1.9 Oversized Detention Worksheet</t>
  </si>
  <si>
    <t xml:space="preserve">   2.1.9 Oversized Detention</t>
  </si>
  <si>
    <t>General Formula:</t>
  </si>
  <si>
    <r>
      <t>Q = C</t>
    </r>
    <r>
      <rPr>
        <vertAlign val="subscript"/>
        <sz val="10"/>
        <rFont val="Arial"/>
        <family val="2"/>
      </rPr>
      <t>d</t>
    </r>
    <r>
      <rPr>
        <sz val="10"/>
        <rFont val="Arial"/>
        <family val="2"/>
      </rPr>
      <t>A</t>
    </r>
    <r>
      <rPr>
        <sz val="10"/>
        <rFont val="Arial"/>
        <family val="0"/>
      </rPr>
      <t>(2gh)^0.5</t>
    </r>
  </si>
  <si>
    <t>Where:</t>
  </si>
  <si>
    <r>
      <t>C</t>
    </r>
    <r>
      <rPr>
        <vertAlign val="subscript"/>
        <sz val="10"/>
        <rFont val="Arial"/>
        <family val="2"/>
      </rPr>
      <t>d</t>
    </r>
    <r>
      <rPr>
        <sz val="10"/>
        <rFont val="Arial"/>
        <family val="0"/>
      </rPr>
      <t xml:space="preserve"> = 0.61 for sharp-edged plate bolted to a catch basin</t>
    </r>
  </si>
  <si>
    <r>
      <t>C</t>
    </r>
    <r>
      <rPr>
        <vertAlign val="subscript"/>
        <sz val="10"/>
        <rFont val="Arial"/>
        <family val="2"/>
      </rPr>
      <t>d</t>
    </r>
    <r>
      <rPr>
        <sz val="10"/>
        <rFont val="Arial"/>
        <family val="0"/>
      </rPr>
      <t xml:space="preserve"> = 0.82 for pipes less than 2 feet long grouted into sewer</t>
    </r>
  </si>
  <si>
    <t>Orifice Plate</t>
  </si>
  <si>
    <t>Orifice Description:</t>
  </si>
  <si>
    <t>Q</t>
  </si>
  <si>
    <t>Discharge</t>
  </si>
  <si>
    <r>
      <t>C</t>
    </r>
    <r>
      <rPr>
        <vertAlign val="subscript"/>
        <sz val="10"/>
        <rFont val="Arial"/>
        <family val="2"/>
      </rPr>
      <t>d</t>
    </r>
  </si>
  <si>
    <t>HWL</t>
  </si>
  <si>
    <t>h</t>
  </si>
  <si>
    <t>Calculated Head</t>
  </si>
  <si>
    <t>d</t>
  </si>
  <si>
    <t>Pipe Slope (S):</t>
  </si>
  <si>
    <t>Pipe Characteristics:</t>
  </si>
  <si>
    <t>typical for pipe &lt;= 21 in</t>
  </si>
  <si>
    <t>for pipe &gt;=24 in when pipe size shown on atlas in inches</t>
  </si>
  <si>
    <t>for pipe &gt;=24 in when pipe size shown on atlas in feet</t>
  </si>
  <si>
    <t>Roughness Coefficient (n):</t>
  </si>
  <si>
    <t>Flow Conveyance (K):</t>
  </si>
  <si>
    <t>Manning's Equation:</t>
  </si>
  <si>
    <t>Total Adjusted Area:</t>
  </si>
  <si>
    <t>Upstream Invert (ft):</t>
  </si>
  <si>
    <t>Downstream Invert (ft):</t>
  </si>
  <si>
    <t>Pipe Segment Length (ft):</t>
  </si>
  <si>
    <t>Pipe Size (in):</t>
  </si>
  <si>
    <t>Pipe Area (sq ft):</t>
  </si>
  <si>
    <t>Wetted Perimeter (ft):</t>
  </si>
  <si>
    <t>Hydraulic Radius (ft):</t>
  </si>
  <si>
    <t>Velocity (fps):</t>
  </si>
  <si>
    <t>Hydraulic Capacity (cfs):</t>
  </si>
  <si>
    <t>Sewer Segment:</t>
  </si>
  <si>
    <t>Segment 1</t>
  </si>
  <si>
    <t>Segment 2</t>
  </si>
  <si>
    <t>Segment 3</t>
  </si>
  <si>
    <t>Segment 4</t>
  </si>
  <si>
    <t>Segment 5</t>
  </si>
  <si>
    <t>Segment 6</t>
  </si>
  <si>
    <t>VCP:  use 0.011,</t>
  </si>
  <si>
    <t>RCP:  use 0.013,</t>
  </si>
  <si>
    <t>Total Tributary Area (ac):</t>
  </si>
  <si>
    <t>Residential Area (ac):</t>
  </si>
  <si>
    <t>Commercial Area (ac):</t>
  </si>
  <si>
    <t>Industrial Area (ac):</t>
  </si>
  <si>
    <t>Adjusted Area</t>
  </si>
  <si>
    <t>Step 2: Tributary Area to Each Sewer Segment</t>
  </si>
  <si>
    <t>Step 1: Sewer Capacity of Each Sewer Segment</t>
  </si>
  <si>
    <t>Release Rate (cfs/ac):</t>
  </si>
  <si>
    <t xml:space="preserve"> Critical Local Sewer Capacity (cfs/ac):</t>
  </si>
  <si>
    <t>Name of Outlet Drainage Basin (as shown on the map):</t>
  </si>
  <si>
    <t>Outlet Sewer Capacity (cfs/ac):</t>
  </si>
  <si>
    <t xml:space="preserve"> Maximum Allowable Release Rate (cfs/ac):</t>
  </si>
  <si>
    <t>Step 3: Determine Release Rates of Each Segment</t>
  </si>
  <si>
    <t>Discharge coefficient</t>
  </si>
  <si>
    <t>Rev. Date:</t>
  </si>
  <si>
    <t xml:space="preserve"> brick sewer:  use 0.015,</t>
  </si>
  <si>
    <t>Adj. Factor</t>
  </si>
  <si>
    <t>0.0  Release Rate</t>
  </si>
  <si>
    <t>The Mannings Equation cannot be used to analyze a pipe with zero or negative slope.</t>
  </si>
  <si>
    <t>Step 4: Compare Outlet Sewer Capacity and Determine Release Rate</t>
  </si>
  <si>
    <t>You must first complete Tab 1.0 Rate Control and Tab 2.0 Volume Control worksheets to use this Oversized Detention Worksheet.</t>
  </si>
  <si>
    <t>50% Canopy size (use 50 sq. ft. max)</t>
  </si>
  <si>
    <t>Area of Trees (New trees * 50 sf + existing tree canopy *0.5)</t>
  </si>
  <si>
    <t>Street Name:</t>
  </si>
  <si>
    <t>Upstream End (street name):</t>
  </si>
  <si>
    <t>Downstream End (street name):</t>
  </si>
  <si>
    <t>Storm Event in Years</t>
  </si>
  <si>
    <t>0.0 RELEASE RATE</t>
  </si>
  <si>
    <t>Type Yes or No</t>
  </si>
  <si>
    <t>Does the design include Oversized Detention with an associated reduction in the allowable release rate?</t>
  </si>
  <si>
    <t>Slope (0.5% to 2.5%)</t>
  </si>
  <si>
    <t>Note:  Total tributary areas entered for segments 1 through 6 must include the cumulative tributary area for each segment.  All upstream tributary areas must be included.</t>
  </si>
  <si>
    <t>Are infiltration BMPs allowable? (See Chapter III Sections 4.1.2 of the Regulations.)</t>
  </si>
  <si>
    <t>6. Sewer Altas &amp; Drain Atlas Referenced:</t>
  </si>
  <si>
    <t>5-Year</t>
  </si>
  <si>
    <t>10-Year</t>
  </si>
  <si>
    <t>25-Year</t>
  </si>
  <si>
    <t>50-Year</t>
  </si>
  <si>
    <t>100-Year</t>
  </si>
  <si>
    <t>Rainfall (in)</t>
  </si>
  <si>
    <t>Average Intensity (in/hr)</t>
  </si>
  <si>
    <t>Storm Duration (min)</t>
  </si>
  <si>
    <t>(Based on Bulletin 70 Rainfall Data)</t>
  </si>
  <si>
    <t>Permeable Pavement</t>
  </si>
  <si>
    <t>Elevation of bottom of BMP (the infiltration surface) IF there is no underdrain, OR the lowest underdrain invert elevation</t>
  </si>
  <si>
    <t>Does this project exceed the minimum requirements of the Stormwater Ordinance in order to comply with the Chicago Sustainable Develoment Policy?</t>
  </si>
  <si>
    <t>No</t>
  </si>
  <si>
    <t>(Answer Yes or No)</t>
  </si>
  <si>
    <t>3.0 SUSTAINABLE DEVELOPMENT POLICY</t>
  </si>
  <si>
    <t>3.1 Exceed Rate Control</t>
  </si>
  <si>
    <t>3.2 Exceed Volume Control</t>
  </si>
  <si>
    <t>3.0 Sustainable Development Policy</t>
  </si>
  <si>
    <t>Sustainable Development Strategy</t>
  </si>
  <si>
    <t>3.1 Exceed Stormwater Ordinance by 25%</t>
  </si>
  <si>
    <t>3.2 Exceed Stormwater Ordinance by 50%</t>
  </si>
  <si>
    <t>3.3 100% Stormwater Infiltration</t>
  </si>
  <si>
    <t>3.4 Sump Pump Capture &amp; Reuse</t>
  </si>
  <si>
    <t>3.5 100-year Detention for Lot-to-lot Buildings</t>
  </si>
  <si>
    <t>3.6 100-year Detention for Bypass</t>
  </si>
  <si>
    <t>Type "Yes" to Select Strategy</t>
  </si>
  <si>
    <t>Points</t>
  </si>
  <si>
    <t>Instructions</t>
  </si>
  <si>
    <t>Points Attempted</t>
  </si>
  <si>
    <t>Total Points Attempted</t>
  </si>
  <si>
    <t xml:space="preserve">The stormwater management plan must indicate that all sump pumps will be discharged to an infiltration BMP, a stormwater capture and re-use facility or the detention system. </t>
  </si>
  <si>
    <t>Explanation of Strategy</t>
  </si>
  <si>
    <t>Chicago Sustainable Development Policy Stormwater Spreadsheet Summary</t>
  </si>
  <si>
    <t>This summary worksheet provides information related to the Chicago Sustainable Development Policy, updated 2017.</t>
  </si>
  <si>
    <t>The six sustainable development strategies related to stormwater are listed below with a detailed explanation of each strategy.</t>
  </si>
  <si>
    <t>Not all projects within the City of Chicago are requried to comply with the Sustainable Development Policy.  Check with the project</t>
  </si>
  <si>
    <t>design team or the Department of Planning and Development to determine applicability.</t>
  </si>
  <si>
    <t>The stormwater management plan must provide storage for 125% of the volume required by both the Rate Control and Volume Control components of the City of Chicago’s Stormwater Ordinance.  Rate Control: The required Rate Control volume is calculated in the typical manner. Storage must be provided for 125% of this required volume. The release rate must be reduced in order to completely fill the volume provided.  Volume Control: The required Volume Control volume is calculated in the typical manner. Storage must be provided for 125% of this required volume. This strategy does not apply when the Volume Control requirement is met through a 15% impervious area reduction.</t>
  </si>
  <si>
    <t>The stormwater management plan must provide storage for 150% of the volume required by both the Rate Control and Volume Control components of the City of Chicago’s Stormwater Ordinance.  Rate Control: The required Rate Control volume is calculated in the typical manner. Storage must be provided for 150% of this require volume. The release rate must be reduced in order to completely fill the volume provided.  Volume Control: The required Volume Control volume is calculated in the typical manner. Storage must be provided for 150% of this required volume. This strategy does not apply when the Volume Control requirement is met through a 15% impervious area reduction.</t>
  </si>
  <si>
    <t>The stormwater management plan must manage stormwater by discharging 100% of the stormwater into the ground through infiltration or by a combination of infiltration and stormwater capture and re-use. Geotechnical investigation including soil borings and infiltration testing will be required to confirm the presence of sandy soil on the site and establish an adequate infiltration rate. No stormwater discharge to the combined sewer system, Waters or adjacent property will be allowed for any storm less than a 100-year critical duration storm.</t>
  </si>
  <si>
    <t>For a lot-to-lot building, provide detention (Rate Control) for the 100-year storm instead of the 10-year storm. A lot-to-lot building is defined as a building with 85% or more lot coverage.</t>
  </si>
  <si>
    <t>For sites with significant off-site tributary flow, provide detention (Rate Control) for the 100-year storm instead of the 25-year storm.</t>
  </si>
  <si>
    <t>To qualify for these strategies, the project must be a regulated development under the Stormwater Ordinance, except for strategy 3.4 Sump Pump Capture &amp; Reuse.</t>
  </si>
  <si>
    <t>You must first complete Tab 1.0 Rate Control and Tab 3.0 Sustainable Development Policy worksheets to use this worksheet.</t>
  </si>
  <si>
    <t>Exceed Detention Computation</t>
  </si>
  <si>
    <t>Rate Control Storage to meet the Stormwater Ordinance</t>
  </si>
  <si>
    <t>Total Rate Control Storage Required to exceed the Stormwater Ordinance</t>
  </si>
  <si>
    <t>Percent exceeding</t>
  </si>
  <si>
    <t xml:space="preserve">Exceed Detention Calculation </t>
  </si>
  <si>
    <t>You must first complete Tab 2.0 Volume Control and Tab 3.0 Sustainable Development Policy worksheets to use this worksheet.</t>
  </si>
  <si>
    <t>Volume Control Storage to meet the Stormwater Ordinance</t>
  </si>
  <si>
    <t>Total Volume Control Storage Required to exceed the Stormwater Ordinance</t>
  </si>
  <si>
    <t>Exceed Volume Control Computation</t>
  </si>
  <si>
    <t>Does the design exceed the Stormwater Ordinance requirements by achieving strategy 3.1 or 3.2 of the Sustainable Development Policy with an associated reduction in the allowable release rate?</t>
  </si>
  <si>
    <t>Release Rate from Tab 1.0 Rate Control</t>
  </si>
  <si>
    <t>Release Rate from Tab 2.1.9 Oversized Detention</t>
  </si>
  <si>
    <t>Release Rate from Tab 3.1 Exceed Rate Control</t>
  </si>
  <si>
    <t>Controlling (Smallest) Release Rate</t>
  </si>
  <si>
    <t>Summary of Release Rates:</t>
  </si>
  <si>
    <t>1.3 Restrictor Sizing</t>
  </si>
  <si>
    <t>Orifice Plate Sizing Calculation:</t>
  </si>
  <si>
    <t>Specify a Vortex Restrictor:</t>
  </si>
  <si>
    <t>Release Rate for Vortex Restrictor</t>
  </si>
  <si>
    <t>X</t>
  </si>
  <si>
    <t>sq ft</t>
  </si>
  <si>
    <t>acres</t>
  </si>
  <si>
    <t>cu ft</t>
  </si>
  <si>
    <t>(cu ft)</t>
  </si>
  <si>
    <t>Required Detention Volume (cu ft)</t>
  </si>
  <si>
    <t>Total pervious area</t>
  </si>
  <si>
    <t>Total impervious area</t>
  </si>
  <si>
    <t>Total BMP area</t>
  </si>
  <si>
    <t>Is the Regulated Development a Lot-to-Lot Buillding (85% or more of site footprint is occupied by buildings)?</t>
  </si>
  <si>
    <t>Average Dry Weather Flow</t>
  </si>
  <si>
    <t>To be used for sewer connection sizing and surcharge calculations</t>
  </si>
  <si>
    <t>Building Fixture Units</t>
  </si>
  <si>
    <t>FTU</t>
  </si>
  <si>
    <t>Equivalent Drainage Area</t>
  </si>
  <si>
    <t>Peak Dry Weather Flow</t>
  </si>
  <si>
    <t>Peak DWF</t>
  </si>
  <si>
    <t xml:space="preserve">This calculation is used to size the appropriate diameter orifice in a steel plate.  See Sewer Detail A-19.  </t>
  </si>
  <si>
    <t>Upper Invert of Half-Trap</t>
  </si>
  <si>
    <t>Orifice Diameter</t>
  </si>
  <si>
    <t>100-Year High Water Level</t>
  </si>
  <si>
    <t>Restrictor Head Calculation (for both Orifice Plate and Vortex Restrictors):</t>
  </si>
  <si>
    <t>7. Site Area:</t>
  </si>
  <si>
    <t>8. Project Area:</t>
  </si>
  <si>
    <t>9. Chicago Sustainable Development Policy:</t>
  </si>
  <si>
    <t>Total project area including sidewall</t>
  </si>
  <si>
    <t>Total project area excluding sidewall</t>
  </si>
  <si>
    <t>Adjusted C-value (including BMPs)</t>
  </si>
  <si>
    <t>To be used to determine if the allowable release rate for detention storage must be lowered to account for a significant DWF (DWF &gt; 10% of the allowable release rate).</t>
  </si>
  <si>
    <t xml:space="preserve"> Average Dry Weather Flow Rate 
(From Tab 1.1)</t>
  </si>
  <si>
    <t>Unadjusted Detention Release Rate</t>
  </si>
  <si>
    <t>Release rate for detention storage computations</t>
  </si>
  <si>
    <t>Required Storage Volume</t>
  </si>
  <si>
    <t>Infiltration Facility Release Rate</t>
  </si>
  <si>
    <t>Qo</t>
  </si>
  <si>
    <t>Qi-Qo</t>
  </si>
  <si>
    <t>(Qi-Qo)*t*60</t>
  </si>
  <si>
    <t>(minutes)</t>
  </si>
  <si>
    <t xml:space="preserve"> Proposed Area (sq ft)</t>
  </si>
  <si>
    <t>Storage Volume (cu ft)</t>
  </si>
  <si>
    <t>Critical building sidewall (enter 25% of the face of the largest sidewall draining to lower level roofs or side gutters)</t>
  </si>
  <si>
    <t>Area</t>
  </si>
  <si>
    <t>A</t>
  </si>
  <si>
    <t>This worksheet takes the allowable release rate from Tab 1.0 (typically) or Tab 2.1.9 (for Oversized Detention) or Tab 3.1 (for Exceeding the Stormwater Ordinance to meet the Sustainable Development Policy), and sizes an orifice to provide this peak discharge rate.  Discharge through infiltration is not included when sizing the restrictor.</t>
  </si>
  <si>
    <t>Design soil infiltration rate (underdrain system is required if infiltration rate is less than 0.5 in/hr)</t>
  </si>
  <si>
    <t>1% Annual Chance</t>
  </si>
  <si>
    <t>2% Annual Chance</t>
  </si>
  <si>
    <t>4% Annual Chance</t>
  </si>
  <si>
    <t>10% Annual Chance</t>
  </si>
  <si>
    <t>20% Annual Chance</t>
  </si>
  <si>
    <t>Release 4.1 effective February 15, 2018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</si>
</sst>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
    <numFmt numFmtId="168" formatCode="#,##0.0"/>
    <numFmt numFmtId="169" formatCode="0.000000"/>
    <numFmt numFmtId="170" formatCode="0.0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 ###\-####"/>
    <numFmt numFmtId="179" formatCode="_(* #,##0.0_);_(* \(#,##0.0\);_(* &quot;-&quot;??_);_(@_)"/>
    <numFmt numFmtId="180" formatCode="#,##0.000"/>
    <numFmt numFmtId="181" formatCode="[$-409]dddd\,\ mmmm\ dd\,\ yyyy"/>
    <numFmt numFmtId="182" formatCode="m/d/yy;@"/>
    <numFmt numFmtId="183" formatCode="0.0000%"/>
  </numFmts>
  <fonts count="73">
    <font>
      <sz val="10"/>
      <name val="Arial"/>
      <family val="0"/>
    </font>
    <font>
      <b/>
      <sz val="16"/>
      <name val="Arial"/>
      <family val="2"/>
    </font>
    <font>
      <sz val="10"/>
      <color indexed="23"/>
      <name val="Arial"/>
      <family val="2"/>
    </font>
    <font>
      <b/>
      <u val="single"/>
      <sz val="10"/>
      <name val="Arial"/>
      <family val="2"/>
    </font>
    <font>
      <b/>
      <sz val="10"/>
      <name val="Arial"/>
      <family val="2"/>
    </font>
    <font>
      <sz val="16"/>
      <name val="Arial"/>
      <family val="2"/>
    </font>
    <font>
      <sz val="10"/>
      <color indexed="10"/>
      <name val="Arial"/>
      <family val="2"/>
    </font>
    <font>
      <b/>
      <u val="single"/>
      <sz val="12"/>
      <name val="Arial"/>
      <family val="2"/>
    </font>
    <font>
      <sz val="10"/>
      <name val="Times New Roman"/>
      <family val="1"/>
    </font>
    <font>
      <u val="single"/>
      <sz val="10"/>
      <name val="Times New Roman"/>
      <family val="1"/>
    </font>
    <font>
      <i/>
      <sz val="10"/>
      <name val="Arial"/>
      <family val="2"/>
    </font>
    <font>
      <b/>
      <sz val="10"/>
      <name val="Times New Roman"/>
      <family val="1"/>
    </font>
    <font>
      <b/>
      <sz val="10"/>
      <color indexed="9"/>
      <name val="Arial"/>
      <family val="2"/>
    </font>
    <font>
      <sz val="10"/>
      <color indexed="9"/>
      <name val="Arial"/>
      <family val="2"/>
    </font>
    <font>
      <sz val="10"/>
      <name val="Myriad Pro"/>
      <family val="0"/>
    </font>
    <font>
      <b/>
      <sz val="10"/>
      <name val="Myriad Pro"/>
      <family val="0"/>
    </font>
    <font>
      <b/>
      <sz val="12"/>
      <color indexed="8"/>
      <name val="Arial"/>
      <family val="2"/>
    </font>
    <font>
      <vertAlign val="superscript"/>
      <sz val="10"/>
      <name val="Arial"/>
      <family val="2"/>
    </font>
    <font>
      <b/>
      <vertAlign val="superscript"/>
      <sz val="10"/>
      <name val="Arial"/>
      <family val="2"/>
    </font>
    <font>
      <u val="single"/>
      <sz val="10"/>
      <color indexed="36"/>
      <name val="Arial"/>
      <family val="0"/>
    </font>
    <font>
      <u val="single"/>
      <sz val="10"/>
      <color indexed="12"/>
      <name val="Arial"/>
      <family val="0"/>
    </font>
    <font>
      <b/>
      <sz val="8"/>
      <name val="Tahoma"/>
      <family val="0"/>
    </font>
    <font>
      <sz val="8"/>
      <name val="Tahoma"/>
      <family val="2"/>
    </font>
    <font>
      <sz val="10"/>
      <color indexed="57"/>
      <name val="Arial"/>
      <family val="2"/>
    </font>
    <font>
      <sz val="6"/>
      <name val="Arial"/>
      <family val="2"/>
    </font>
    <font>
      <b/>
      <sz val="14"/>
      <name val="Arial"/>
      <family val="2"/>
    </font>
    <font>
      <b/>
      <sz val="12"/>
      <name val="Arial"/>
      <family val="2"/>
    </font>
    <font>
      <vertAlign val="subscript"/>
      <sz val="10"/>
      <name val="Arial"/>
      <family val="2"/>
    </font>
    <font>
      <b/>
      <i/>
      <sz val="10"/>
      <color indexed="10"/>
      <name val="Arial"/>
      <family val="2"/>
    </font>
    <font>
      <sz val="10"/>
      <color indexed="8"/>
      <name val="Arial"/>
      <family val="2"/>
    </font>
    <font>
      <b/>
      <sz val="8"/>
      <name val="Arial"/>
      <family val="2"/>
    </font>
    <font>
      <u val="single"/>
      <sz val="10"/>
      <name val="Arial"/>
      <family val="0"/>
    </font>
    <font>
      <sz val="9"/>
      <name val="Arial"/>
      <family val="2"/>
    </font>
    <font>
      <b/>
      <sz val="9"/>
      <name val="Arial"/>
      <family val="2"/>
    </font>
    <font>
      <sz val="12"/>
      <name val="Arial"/>
      <family val="2"/>
    </font>
    <font>
      <b/>
      <sz val="10"/>
      <color indexed="10"/>
      <name val="Arial"/>
      <family val="2"/>
    </font>
    <fon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style="medium"/>
      <top style="thin"/>
      <bottom>
        <color indexed="63"/>
      </bottom>
    </border>
    <border>
      <left>
        <color indexed="63"/>
      </left>
      <right style="thin"/>
      <top style="medium"/>
      <bottom style="thin"/>
    </border>
    <border>
      <left style="medium"/>
      <right style="double"/>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double"/>
      <top>
        <color indexed="63"/>
      </top>
      <bottom>
        <color indexed="63"/>
      </bottom>
    </border>
    <border>
      <left style="double"/>
      <right>
        <color indexed="63"/>
      </right>
      <top>
        <color indexed="63"/>
      </top>
      <bottom style="medium"/>
    </border>
    <border>
      <left style="thin"/>
      <right style="medium"/>
      <top>
        <color indexed="63"/>
      </top>
      <bottom style="thin"/>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medium"/>
      <right style="double"/>
      <top>
        <color indexed="63"/>
      </top>
      <bottom style="thin"/>
    </border>
    <border>
      <left style="medium"/>
      <right style="double"/>
      <top style="thin"/>
      <bottom>
        <color indexed="63"/>
      </bottom>
    </border>
    <border>
      <left style="medium"/>
      <right style="thin"/>
      <top style="medium"/>
      <bottom style="thin"/>
    </border>
    <border>
      <left style="medium"/>
      <right style="thin"/>
      <top style="thin"/>
      <bottom style="medium"/>
    </border>
    <border>
      <left style="medium"/>
      <right style="medium"/>
      <top style="medium"/>
      <bottom style="medium"/>
    </border>
    <border>
      <left>
        <color indexed="63"/>
      </left>
      <right style="medium"/>
      <top>
        <color indexed="63"/>
      </top>
      <bottom style="thin"/>
    </border>
    <border>
      <left style="medium"/>
      <right style="double"/>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xf>
    <xf numFmtId="0" fontId="0" fillId="0" borderId="0" xfId="0" applyBorder="1" applyAlignment="1">
      <alignment/>
    </xf>
    <xf numFmtId="0" fontId="0" fillId="33" borderId="0" xfId="0" applyFont="1" applyFill="1" applyAlignment="1">
      <alignment/>
    </xf>
    <xf numFmtId="0" fontId="0" fillId="0" borderId="0" xfId="0" applyFont="1" applyAlignment="1">
      <alignment/>
    </xf>
    <xf numFmtId="0" fontId="0" fillId="33" borderId="10" xfId="0" applyFont="1" applyFill="1" applyBorder="1" applyAlignment="1">
      <alignment/>
    </xf>
    <xf numFmtId="0" fontId="0" fillId="33" borderId="0" xfId="0" applyFont="1" applyFill="1" applyBorder="1" applyAlignment="1">
      <alignment horizontal="center" vertical="center"/>
    </xf>
    <xf numFmtId="0" fontId="0" fillId="33" borderId="0" xfId="0" applyFont="1" applyFill="1" applyBorder="1" applyAlignment="1">
      <alignment/>
    </xf>
    <xf numFmtId="0" fontId="0" fillId="33" borderId="11"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5"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4" fillId="0" borderId="0" xfId="0" applyFont="1" applyFill="1" applyBorder="1" applyAlignment="1">
      <alignment vertical="center"/>
    </xf>
    <xf numFmtId="2" fontId="0" fillId="0" borderId="0" xfId="0" applyNumberFormat="1" applyFont="1" applyFill="1" applyBorder="1" applyAlignment="1" applyProtection="1">
      <alignment horizontal="center"/>
      <protection locked="0"/>
    </xf>
    <xf numFmtId="2" fontId="0" fillId="33" borderId="0" xfId="0" applyNumberFormat="1" applyFont="1" applyFill="1" applyBorder="1" applyAlignment="1">
      <alignment/>
    </xf>
    <xf numFmtId="0" fontId="4" fillId="0" borderId="0" xfId="0" applyFont="1" applyFill="1" applyBorder="1" applyAlignment="1">
      <alignment wrapText="1"/>
    </xf>
    <xf numFmtId="0" fontId="0" fillId="0" borderId="12" xfId="0" applyBorder="1" applyAlignment="1">
      <alignment/>
    </xf>
    <xf numFmtId="0" fontId="0" fillId="0" borderId="13" xfId="0" applyBorder="1" applyAlignment="1">
      <alignment/>
    </xf>
    <xf numFmtId="1" fontId="0" fillId="0" borderId="0" xfId="0" applyNumberFormat="1" applyFont="1" applyFill="1" applyBorder="1" applyAlignment="1">
      <alignment horizontal="center"/>
    </xf>
    <xf numFmtId="1" fontId="0" fillId="0" borderId="0" xfId="42" applyNumberFormat="1" applyFont="1" applyFill="1" applyBorder="1" applyAlignment="1">
      <alignment horizontal="center"/>
    </xf>
    <xf numFmtId="0" fontId="3" fillId="0" borderId="0" xfId="0" applyFont="1" applyFill="1" applyBorder="1" applyAlignment="1">
      <alignment wrapText="1"/>
    </xf>
    <xf numFmtId="0" fontId="4" fillId="33" borderId="0" xfId="0" applyFont="1" applyFill="1" applyAlignment="1">
      <alignment/>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horizontal="right" vertical="top"/>
    </xf>
    <xf numFmtId="0" fontId="0" fillId="0" borderId="0" xfId="0" applyFont="1" applyAlignment="1">
      <alignment horizontal="left" wrapText="1"/>
    </xf>
    <xf numFmtId="0" fontId="0" fillId="33" borderId="10" xfId="0" applyFont="1" applyFill="1" applyBorder="1" applyAlignment="1">
      <alignment wrapText="1"/>
    </xf>
    <xf numFmtId="0" fontId="0" fillId="0" borderId="11" xfId="0" applyFont="1" applyBorder="1" applyAlignment="1">
      <alignment wrapText="1"/>
    </xf>
    <xf numFmtId="0" fontId="5" fillId="0" borderId="0" xfId="0" applyFont="1" applyAlignment="1">
      <alignment horizontal="right"/>
    </xf>
    <xf numFmtId="0" fontId="0" fillId="0" borderId="0" xfId="0" applyFont="1" applyAlignment="1">
      <alignment/>
    </xf>
    <xf numFmtId="0" fontId="7" fillId="33" borderId="0" xfId="0" applyFont="1" applyFill="1" applyAlignment="1">
      <alignment/>
    </xf>
    <xf numFmtId="0" fontId="8" fillId="33" borderId="0" xfId="0" applyFont="1" applyFill="1" applyBorder="1" applyAlignment="1">
      <alignment/>
    </xf>
    <xf numFmtId="0" fontId="8" fillId="33" borderId="0" xfId="0" applyFont="1" applyFill="1" applyBorder="1" applyAlignment="1">
      <alignment horizontal="center"/>
    </xf>
    <xf numFmtId="0" fontId="9" fillId="33" borderId="0" xfId="0" applyFont="1" applyFill="1" applyBorder="1" applyAlignment="1">
      <alignment/>
    </xf>
    <xf numFmtId="0" fontId="9" fillId="33" borderId="0" xfId="0" applyFont="1" applyFill="1" applyAlignment="1">
      <alignment/>
    </xf>
    <xf numFmtId="0" fontId="0" fillId="33" borderId="0" xfId="0" applyFont="1" applyFill="1" applyBorder="1" applyAlignment="1">
      <alignment horizontal="left" wrapText="1"/>
    </xf>
    <xf numFmtId="0" fontId="0" fillId="0" borderId="11" xfId="0" applyFont="1" applyBorder="1" applyAlignment="1">
      <alignment horizontal="center"/>
    </xf>
    <xf numFmtId="0" fontId="0" fillId="0" borderId="11" xfId="0" applyFont="1" applyBorder="1" applyAlignment="1">
      <alignment/>
    </xf>
    <xf numFmtId="3" fontId="0" fillId="34" borderId="11" xfId="0" applyNumberFormat="1" applyFont="1" applyFill="1" applyBorder="1" applyAlignment="1" applyProtection="1">
      <alignment horizontal="center"/>
      <protection locked="0"/>
    </xf>
    <xf numFmtId="1" fontId="0" fillId="0" borderId="0" xfId="0" applyNumberFormat="1" applyFont="1" applyBorder="1" applyAlignment="1">
      <alignment/>
    </xf>
    <xf numFmtId="3" fontId="0" fillId="0" borderId="11" xfId="0" applyNumberFormat="1" applyFont="1" applyFill="1" applyBorder="1" applyAlignment="1">
      <alignment horizontal="center"/>
    </xf>
    <xf numFmtId="0" fontId="0" fillId="0" borderId="10" xfId="0" applyFont="1" applyBorder="1" applyAlignment="1">
      <alignment vertical="top" wrapText="1"/>
    </xf>
    <xf numFmtId="0" fontId="6" fillId="34" borderId="11" xfId="0" applyFont="1" applyFill="1" applyBorder="1" applyAlignment="1">
      <alignment horizontal="center" vertical="top"/>
    </xf>
    <xf numFmtId="0" fontId="8" fillId="0" borderId="11" xfId="0" applyFont="1" applyBorder="1" applyAlignment="1">
      <alignment horizontal="center"/>
    </xf>
    <xf numFmtId="0" fontId="4" fillId="0" borderId="11" xfId="0" applyFont="1" applyBorder="1" applyAlignment="1">
      <alignment horizontal="center" wrapText="1"/>
    </xf>
    <xf numFmtId="167" fontId="0" fillId="35" borderId="11" xfId="0" applyNumberFormat="1" applyFill="1" applyBorder="1" applyAlignment="1">
      <alignment horizontal="center"/>
    </xf>
    <xf numFmtId="0" fontId="4" fillId="0" borderId="0" xfId="0" applyFont="1" applyAlignment="1">
      <alignment/>
    </xf>
    <xf numFmtId="0" fontId="11" fillId="33" borderId="0" xfId="0" applyFont="1" applyFill="1" applyBorder="1" applyAlignment="1">
      <alignment horizontal="center"/>
    </xf>
    <xf numFmtId="0" fontId="12" fillId="0" borderId="0" xfId="0" applyFont="1" applyFill="1" applyBorder="1" applyAlignment="1">
      <alignment horizontal="center" vertical="center"/>
    </xf>
    <xf numFmtId="2" fontId="13" fillId="0" borderId="0" xfId="0" applyNumberFormat="1" applyFont="1" applyFill="1" applyBorder="1" applyAlignment="1" applyProtection="1">
      <alignment horizontal="center"/>
      <protection/>
    </xf>
    <xf numFmtId="0" fontId="0" fillId="0" borderId="0" xfId="0" applyFont="1" applyBorder="1" applyAlignment="1">
      <alignment horizontal="left" vertical="top" wrapText="1"/>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0" borderId="0" xfId="0" applyFont="1" applyAlignment="1">
      <alignment/>
    </xf>
    <xf numFmtId="0" fontId="0" fillId="33" borderId="0" xfId="0" applyFont="1" applyFill="1" applyAlignment="1">
      <alignment horizontal="center"/>
    </xf>
    <xf numFmtId="0" fontId="11" fillId="33" borderId="14" xfId="0" applyFont="1" applyFill="1" applyBorder="1" applyAlignment="1">
      <alignment horizontal="center"/>
    </xf>
    <xf numFmtId="0" fontId="11" fillId="33" borderId="15" xfId="0" applyFont="1" applyFill="1" applyBorder="1" applyAlignment="1">
      <alignment horizontal="center"/>
    </xf>
    <xf numFmtId="0" fontId="11" fillId="33" borderId="16" xfId="0" applyFont="1" applyFill="1" applyBorder="1" applyAlignment="1">
      <alignment horizontal="center"/>
    </xf>
    <xf numFmtId="2" fontId="0"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4" fontId="0" fillId="33" borderId="11" xfId="0" applyNumberFormat="1" applyFont="1" applyFill="1" applyBorder="1" applyAlignment="1">
      <alignment horizontal="center"/>
    </xf>
    <xf numFmtId="2" fontId="0" fillId="33" borderId="11" xfId="0" applyNumberFormat="1" applyFont="1" applyFill="1" applyBorder="1" applyAlignment="1">
      <alignment horizontal="center"/>
    </xf>
    <xf numFmtId="3" fontId="0" fillId="33" borderId="11" xfId="0" applyNumberFormat="1" applyFont="1" applyFill="1" applyBorder="1" applyAlignment="1">
      <alignment horizontal="center"/>
    </xf>
    <xf numFmtId="0" fontId="0" fillId="33" borderId="0" xfId="0" applyFont="1" applyFill="1" applyBorder="1" applyAlignment="1">
      <alignment/>
    </xf>
    <xf numFmtId="0" fontId="0" fillId="33" borderId="0" xfId="0" applyFont="1" applyFill="1" applyAlignment="1">
      <alignment/>
    </xf>
    <xf numFmtId="3" fontId="0" fillId="33" borderId="0" xfId="0" applyNumberFormat="1"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0" xfId="0" applyFont="1" applyFill="1" applyAlignment="1">
      <alignment horizontal="center"/>
    </xf>
    <xf numFmtId="2" fontId="0"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3" fontId="0" fillId="33" borderId="11" xfId="0" applyNumberFormat="1" applyFont="1" applyFill="1" applyBorder="1" applyAlignment="1">
      <alignment horizontal="center"/>
    </xf>
    <xf numFmtId="4" fontId="0" fillId="33" borderId="11" xfId="0" applyNumberFormat="1" applyFont="1" applyFill="1" applyBorder="1" applyAlignment="1">
      <alignment horizontal="center"/>
    </xf>
    <xf numFmtId="3" fontId="0" fillId="33" borderId="0" xfId="0" applyNumberFormat="1" applyFont="1" applyFill="1" applyBorder="1" applyAlignment="1">
      <alignment horizontal="center"/>
    </xf>
    <xf numFmtId="0" fontId="14" fillId="0" borderId="11" xfId="0" applyFont="1" applyBorder="1" applyAlignment="1">
      <alignment horizontal="justify"/>
    </xf>
    <xf numFmtId="0" fontId="14" fillId="0" borderId="11" xfId="0" applyFont="1" applyBorder="1" applyAlignment="1">
      <alignment horizontal="center"/>
    </xf>
    <xf numFmtId="0" fontId="15" fillId="0" borderId="0" xfId="0" applyFont="1" applyFill="1" applyBorder="1" applyAlignment="1">
      <alignment horizontal="right"/>
    </xf>
    <xf numFmtId="0" fontId="14" fillId="0" borderId="20" xfId="0" applyFont="1" applyBorder="1" applyAlignment="1">
      <alignment horizontal="center"/>
    </xf>
    <xf numFmtId="0" fontId="16" fillId="0" borderId="0" xfId="0" applyFont="1" applyAlignment="1">
      <alignment/>
    </xf>
    <xf numFmtId="0" fontId="0" fillId="0" borderId="11" xfId="0" applyFont="1" applyBorder="1" applyAlignment="1">
      <alignment vertical="top" wrapText="1"/>
    </xf>
    <xf numFmtId="0" fontId="0" fillId="0" borderId="11" xfId="0" applyFont="1" applyBorder="1" applyAlignment="1">
      <alignment/>
    </xf>
    <xf numFmtId="0" fontId="0" fillId="0" borderId="0" xfId="0" applyFont="1" applyBorder="1" applyAlignment="1">
      <alignment vertical="top" wrapText="1"/>
    </xf>
    <xf numFmtId="0" fontId="4" fillId="0" borderId="0" xfId="0" applyFont="1" applyFill="1" applyAlignment="1">
      <alignment horizontal="center"/>
    </xf>
    <xf numFmtId="0" fontId="0" fillId="0" borderId="0" xfId="0" applyFont="1" applyBorder="1" applyAlignment="1">
      <alignment wrapText="1"/>
    </xf>
    <xf numFmtId="2" fontId="4" fillId="0" borderId="18" xfId="0" applyNumberFormat="1" applyFont="1" applyFill="1" applyBorder="1" applyAlignment="1">
      <alignment/>
    </xf>
    <xf numFmtId="0" fontId="4" fillId="0" borderId="0" xfId="0" applyFont="1" applyFill="1" applyBorder="1" applyAlignment="1">
      <alignment vertical="center"/>
    </xf>
    <xf numFmtId="0" fontId="0" fillId="0" borderId="0" xfId="0" applyFont="1" applyBorder="1" applyAlignment="1">
      <alignment/>
    </xf>
    <xf numFmtId="0" fontId="4" fillId="0" borderId="0" xfId="0" applyFont="1" applyFill="1" applyBorder="1" applyAlignment="1">
      <alignment horizontal="center" vertical="center"/>
    </xf>
    <xf numFmtId="2" fontId="0" fillId="0" borderId="0" xfId="0" applyNumberFormat="1" applyFont="1" applyFill="1" applyBorder="1" applyAlignment="1" applyProtection="1">
      <alignment horizontal="center"/>
      <protection locked="0"/>
    </xf>
    <xf numFmtId="2" fontId="0" fillId="33" borderId="0" xfId="0" applyNumberFormat="1" applyFont="1" applyFill="1" applyBorder="1" applyAlignment="1">
      <alignment/>
    </xf>
    <xf numFmtId="2" fontId="0" fillId="0" borderId="0" xfId="0" applyNumberFormat="1" applyFont="1" applyFill="1" applyBorder="1" applyAlignment="1" applyProtection="1">
      <alignment horizontal="center"/>
      <protection/>
    </xf>
    <xf numFmtId="0" fontId="0" fillId="0" borderId="11" xfId="0" applyBorder="1" applyAlignment="1">
      <alignment/>
    </xf>
    <xf numFmtId="0" fontId="0" fillId="33" borderId="11" xfId="0" applyFont="1" applyFill="1"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1" xfId="0" applyBorder="1" applyAlignment="1">
      <alignment horizontal="left"/>
    </xf>
    <xf numFmtId="0" fontId="4" fillId="0" borderId="11" xfId="0" applyFont="1" applyBorder="1" applyAlignment="1">
      <alignment/>
    </xf>
    <xf numFmtId="0" fontId="0" fillId="0" borderId="11" xfId="0" applyBorder="1" applyAlignment="1">
      <alignment horizontal="center" wrapText="1"/>
    </xf>
    <xf numFmtId="0" fontId="0" fillId="0" borderId="11" xfId="0" applyBorder="1" applyAlignment="1">
      <alignment horizontal="center"/>
    </xf>
    <xf numFmtId="0" fontId="0" fillId="33" borderId="0" xfId="0" applyFont="1" applyFill="1" applyBorder="1" applyAlignment="1">
      <alignment wrapText="1"/>
    </xf>
    <xf numFmtId="3" fontId="0" fillId="0" borderId="0" xfId="0" applyNumberFormat="1" applyFont="1" applyFill="1" applyBorder="1" applyAlignment="1" applyProtection="1">
      <alignment horizontal="center"/>
      <protection locked="0"/>
    </xf>
    <xf numFmtId="0" fontId="0" fillId="0" borderId="0" xfId="0" applyBorder="1" applyAlignment="1">
      <alignment wrapText="1"/>
    </xf>
    <xf numFmtId="0" fontId="0" fillId="0" borderId="0" xfId="0" applyBorder="1" applyAlignment="1">
      <alignment horizontal="left" wrapText="1"/>
    </xf>
    <xf numFmtId="0" fontId="4" fillId="0" borderId="11" xfId="0" applyFont="1" applyBorder="1" applyAlignment="1">
      <alignment wrapText="1"/>
    </xf>
    <xf numFmtId="3" fontId="0" fillId="36" borderId="11" xfId="0" applyNumberFormat="1" applyFont="1" applyFill="1" applyBorder="1" applyAlignment="1" applyProtection="1">
      <alignment horizontal="center"/>
      <protection locked="0"/>
    </xf>
    <xf numFmtId="0" fontId="0" fillId="0" borderId="10" xfId="0" applyBorder="1" applyAlignment="1">
      <alignment/>
    </xf>
    <xf numFmtId="0" fontId="0" fillId="0" borderId="0" xfId="0" applyBorder="1" applyAlignment="1">
      <alignment horizontal="left"/>
    </xf>
    <xf numFmtId="0" fontId="23" fillId="0" borderId="0" xfId="0" applyFont="1" applyAlignment="1">
      <alignment/>
    </xf>
    <xf numFmtId="0" fontId="1" fillId="0" borderId="0" xfId="0" applyFont="1" applyAlignment="1">
      <alignment horizontal="right"/>
    </xf>
    <xf numFmtId="0" fontId="6" fillId="0" borderId="0" xfId="0" applyFont="1" applyFill="1" applyBorder="1" applyAlignment="1">
      <alignment horizontal="center" vertical="top"/>
    </xf>
    <xf numFmtId="0" fontId="0" fillId="0" borderId="21" xfId="0" applyBorder="1" applyAlignment="1">
      <alignment/>
    </xf>
    <xf numFmtId="0" fontId="0" fillId="0" borderId="21" xfId="0" applyBorder="1" applyAlignment="1">
      <alignment horizontal="left"/>
    </xf>
    <xf numFmtId="0" fontId="25" fillId="0" borderId="0" xfId="0" applyFont="1" applyAlignment="1">
      <alignment horizontal="center"/>
    </xf>
    <xf numFmtId="0" fontId="0" fillId="0" borderId="0"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5" fillId="0" borderId="0" xfId="0" applyFont="1" applyAlignment="1">
      <alignment/>
    </xf>
    <xf numFmtId="0" fontId="25" fillId="0" borderId="0" xfId="0" applyFont="1" applyAlignment="1">
      <alignment/>
    </xf>
    <xf numFmtId="2" fontId="13" fillId="0" borderId="24" xfId="0" applyNumberFormat="1" applyFont="1" applyFill="1" applyBorder="1" applyAlignment="1" applyProtection="1">
      <alignment horizontal="center"/>
      <protection/>
    </xf>
    <xf numFmtId="2" fontId="13" fillId="0" borderId="25" xfId="0" applyNumberFormat="1" applyFont="1" applyFill="1" applyBorder="1" applyAlignment="1" applyProtection="1">
      <alignment horizontal="center"/>
      <protection/>
    </xf>
    <xf numFmtId="0" fontId="0" fillId="33" borderId="27" xfId="0" applyFont="1" applyFill="1" applyBorder="1" applyAlignment="1">
      <alignment/>
    </xf>
    <xf numFmtId="3" fontId="0" fillId="34" borderId="28" xfId="0" applyNumberFormat="1" applyFont="1" applyFill="1" applyBorder="1" applyAlignment="1" applyProtection="1">
      <alignment horizontal="center"/>
      <protection locked="0"/>
    </xf>
    <xf numFmtId="2" fontId="0" fillId="0" borderId="29" xfId="0" applyNumberFormat="1" applyFont="1" applyFill="1" applyBorder="1" applyAlignment="1" applyProtection="1">
      <alignment horizontal="center"/>
      <protection locked="0"/>
    </xf>
    <xf numFmtId="2" fontId="0" fillId="0" borderId="30" xfId="0" applyNumberFormat="1" applyFont="1" applyFill="1" applyBorder="1" applyAlignment="1" applyProtection="1">
      <alignment horizontal="center"/>
      <protection locked="0"/>
    </xf>
    <xf numFmtId="0" fontId="0" fillId="33" borderId="31" xfId="0" applyFont="1" applyFill="1" applyBorder="1" applyAlignment="1">
      <alignment/>
    </xf>
    <xf numFmtId="3" fontId="0" fillId="34" borderId="32" xfId="0" applyNumberFormat="1" applyFont="1" applyFill="1" applyBorder="1" applyAlignment="1" applyProtection="1">
      <alignment horizontal="center"/>
      <protection locked="0"/>
    </xf>
    <xf numFmtId="2" fontId="0" fillId="0" borderId="33" xfId="0" applyNumberFormat="1" applyFont="1" applyFill="1" applyBorder="1" applyAlignment="1" applyProtection="1">
      <alignment horizontal="center"/>
      <protection locked="0"/>
    </xf>
    <xf numFmtId="0" fontId="0" fillId="33" borderId="11" xfId="0" applyFont="1" applyFill="1" applyBorder="1" applyAlignment="1">
      <alignment vertical="center"/>
    </xf>
    <xf numFmtId="2" fontId="4" fillId="0" borderId="12" xfId="0" applyNumberFormat="1" applyFont="1" applyFill="1" applyBorder="1" applyAlignment="1">
      <alignment horizontal="left"/>
    </xf>
    <xf numFmtId="0" fontId="0" fillId="0" borderId="12" xfId="0" applyFont="1" applyBorder="1" applyAlignment="1">
      <alignment horizontal="left" vertical="top" wrapText="1"/>
    </xf>
    <xf numFmtId="0" fontId="0" fillId="0" borderId="0" xfId="0" applyFont="1" applyBorder="1" applyAlignment="1">
      <alignment horizontal="center"/>
    </xf>
    <xf numFmtId="0" fontId="25" fillId="0" borderId="21" xfId="0" applyFont="1" applyBorder="1" applyAlignment="1">
      <alignment horizontal="center"/>
    </xf>
    <xf numFmtId="0" fontId="0" fillId="0" borderId="34" xfId="0" applyBorder="1" applyAlignment="1">
      <alignment horizontal="left"/>
    </xf>
    <xf numFmtId="0" fontId="25" fillId="0" borderId="34" xfId="0" applyFont="1" applyBorder="1" applyAlignment="1">
      <alignment horizontal="center"/>
    </xf>
    <xf numFmtId="3" fontId="0" fillId="34" borderId="11" xfId="0" applyNumberFormat="1" applyFill="1" applyBorder="1" applyAlignment="1">
      <alignment horizontal="center"/>
    </xf>
    <xf numFmtId="0" fontId="0" fillId="0" borderId="22" xfId="0" applyFont="1" applyFill="1" applyBorder="1" applyAlignment="1">
      <alignment vertical="top" wrapText="1"/>
    </xf>
    <xf numFmtId="0" fontId="0" fillId="0" borderId="24" xfId="0" applyFont="1" applyFill="1" applyBorder="1" applyAlignment="1">
      <alignment vertical="top" wrapText="1"/>
    </xf>
    <xf numFmtId="0" fontId="0" fillId="0" borderId="12" xfId="0" applyFont="1" applyFill="1" applyBorder="1" applyAlignment="1">
      <alignment vertical="top" wrapText="1"/>
    </xf>
    <xf numFmtId="0" fontId="0" fillId="0" borderId="25" xfId="0" applyFont="1" applyFill="1" applyBorder="1" applyAlignment="1">
      <alignment vertical="top" wrapText="1"/>
    </xf>
    <xf numFmtId="0" fontId="0" fillId="0" borderId="0" xfId="0" applyFont="1" applyFill="1" applyAlignment="1">
      <alignment/>
    </xf>
    <xf numFmtId="0" fontId="0" fillId="0" borderId="11" xfId="0" applyFont="1" applyFill="1" applyBorder="1" applyAlignment="1">
      <alignment wrapText="1"/>
    </xf>
    <xf numFmtId="0" fontId="2" fillId="0" borderId="12" xfId="0" applyFont="1" applyBorder="1" applyAlignment="1">
      <alignment/>
    </xf>
    <xf numFmtId="0" fontId="2" fillId="0" borderId="25" xfId="0" applyFont="1" applyBorder="1" applyAlignment="1">
      <alignment/>
    </xf>
    <xf numFmtId="0" fontId="4" fillId="0" borderId="11" xfId="0" applyFont="1" applyBorder="1" applyAlignment="1">
      <alignment horizontal="left"/>
    </xf>
    <xf numFmtId="0" fontId="0" fillId="0" borderId="10" xfId="0" applyFont="1" applyFill="1" applyBorder="1" applyAlignment="1">
      <alignment vertical="top" wrapText="1"/>
    </xf>
    <xf numFmtId="0" fontId="4" fillId="0" borderId="11" xfId="0" applyFont="1" applyFill="1" applyBorder="1" applyAlignment="1">
      <alignment/>
    </xf>
    <xf numFmtId="0" fontId="26" fillId="0" borderId="0" xfId="0" applyFont="1" applyAlignment="1">
      <alignment/>
    </xf>
    <xf numFmtId="0" fontId="0" fillId="0" borderId="0" xfId="0" applyAlignment="1">
      <alignment horizontal="center"/>
    </xf>
    <xf numFmtId="0" fontId="0" fillId="0" borderId="0" xfId="0" applyAlignment="1">
      <alignment/>
    </xf>
    <xf numFmtId="0" fontId="0" fillId="0" borderId="11" xfId="0" applyBorder="1" applyAlignment="1">
      <alignment horizontal="center" vertical="center"/>
    </xf>
    <xf numFmtId="0" fontId="0" fillId="0" borderId="11" xfId="0" applyBorder="1" applyAlignment="1">
      <alignment vertical="center"/>
    </xf>
    <xf numFmtId="0" fontId="0" fillId="0" borderId="11" xfId="0" applyBorder="1" applyAlignment="1">
      <alignment/>
    </xf>
    <xf numFmtId="0" fontId="0" fillId="0" borderId="11" xfId="0" applyBorder="1" applyAlignment="1">
      <alignment horizontal="center" vertical="center" wrapText="1"/>
    </xf>
    <xf numFmtId="0" fontId="0" fillId="0" borderId="11" xfId="0" applyFont="1" applyBorder="1" applyAlignment="1">
      <alignment vertical="center" wrapText="1"/>
    </xf>
    <xf numFmtId="4" fontId="0" fillId="34" borderId="11" xfId="0" applyNumberFormat="1" applyFill="1" applyBorder="1" applyAlignment="1">
      <alignment horizontal="center"/>
    </xf>
    <xf numFmtId="0" fontId="0" fillId="0" borderId="11" xfId="0" applyBorder="1" applyAlignment="1">
      <alignment vertical="center" wrapText="1"/>
    </xf>
    <xf numFmtId="168" fontId="0" fillId="34" borderId="11" xfId="0" applyNumberFormat="1" applyFill="1" applyBorder="1" applyAlignment="1">
      <alignment horizontal="center"/>
    </xf>
    <xf numFmtId="0" fontId="0" fillId="0" borderId="0" xfId="0" applyAlignment="1">
      <alignment wrapText="1"/>
    </xf>
    <xf numFmtId="0" fontId="0" fillId="0" borderId="16" xfId="0" applyBorder="1" applyAlignment="1">
      <alignment horizontal="center" vertical="center"/>
    </xf>
    <xf numFmtId="0" fontId="0" fillId="0" borderId="16" xfId="0" applyBorder="1" applyAlignment="1">
      <alignment horizontal="left" vertical="center" wrapText="1"/>
    </xf>
    <xf numFmtId="0" fontId="0" fillId="34" borderId="11" xfId="0" applyFill="1" applyBorder="1" applyAlignment="1">
      <alignment horizontal="center"/>
    </xf>
    <xf numFmtId="0" fontId="0" fillId="0" borderId="11" xfId="0" applyFill="1" applyBorder="1" applyAlignment="1">
      <alignment vertical="center" wrapText="1"/>
    </xf>
    <xf numFmtId="0" fontId="4" fillId="0" borderId="0" xfId="0" applyFont="1" applyAlignment="1">
      <alignment wrapText="1"/>
    </xf>
    <xf numFmtId="0" fontId="0" fillId="0" borderId="0" xfId="0" applyAlignment="1">
      <alignment horizont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xf>
    <xf numFmtId="0" fontId="26"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horizontal="center" vertical="center"/>
    </xf>
    <xf numFmtId="180" fontId="0" fillId="34" borderId="11" xfId="0" applyNumberFormat="1" applyFill="1" applyBorder="1" applyAlignment="1">
      <alignment horizontal="center"/>
    </xf>
    <xf numFmtId="0" fontId="0" fillId="0" borderId="11" xfId="0" applyFill="1" applyBorder="1" applyAlignment="1">
      <alignment horizontal="center" wrapText="1"/>
    </xf>
    <xf numFmtId="0" fontId="0" fillId="33" borderId="10" xfId="0" applyFont="1" applyFill="1" applyBorder="1" applyAlignment="1">
      <alignment horizontal="left" indent="5"/>
    </xf>
    <xf numFmtId="3" fontId="0" fillId="34" borderId="10" xfId="0" applyNumberFormat="1" applyFont="1" applyFill="1" applyBorder="1" applyAlignment="1">
      <alignment horizontal="center"/>
    </xf>
    <xf numFmtId="1" fontId="0" fillId="34" borderId="11" xfId="0" applyNumberFormat="1" applyFill="1" applyBorder="1" applyAlignment="1">
      <alignment horizontal="center" wrapText="1"/>
    </xf>
    <xf numFmtId="0" fontId="0" fillId="0" borderId="0" xfId="0" applyFill="1" applyAlignment="1">
      <alignment horizontal="center" wrapText="1"/>
    </xf>
    <xf numFmtId="0" fontId="0" fillId="34" borderId="11" xfId="0" applyFill="1" applyBorder="1" applyAlignment="1">
      <alignment horizontal="center" wrapText="1"/>
    </xf>
    <xf numFmtId="0" fontId="0" fillId="34" borderId="11" xfId="0" applyFill="1" applyBorder="1" applyAlignment="1">
      <alignment wrapText="1"/>
    </xf>
    <xf numFmtId="0" fontId="0" fillId="0" borderId="0" xfId="0"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center" wrapText="1"/>
    </xf>
    <xf numFmtId="3" fontId="0" fillId="34" borderId="11" xfId="0" applyNumberFormat="1" applyFill="1" applyBorder="1" applyAlignment="1">
      <alignment horizontal="center" wrapText="1"/>
    </xf>
    <xf numFmtId="0" fontId="0" fillId="0" borderId="11" xfId="0" applyFont="1" applyBorder="1" applyAlignment="1">
      <alignment wrapText="1"/>
    </xf>
    <xf numFmtId="4" fontId="0" fillId="34" borderId="11" xfId="0" applyNumberFormat="1" applyFill="1" applyBorder="1" applyAlignment="1">
      <alignment horizontal="center" wrapText="1"/>
    </xf>
    <xf numFmtId="180" fontId="0" fillId="34" borderId="11" xfId="0" applyNumberFormat="1" applyFill="1" applyBorder="1" applyAlignment="1">
      <alignment horizontal="center" wrapText="1"/>
    </xf>
    <xf numFmtId="168" fontId="0" fillId="34" borderId="11" xfId="0" applyNumberFormat="1" applyFill="1" applyBorder="1" applyAlignment="1">
      <alignment horizontal="center" wrapText="1"/>
    </xf>
    <xf numFmtId="0" fontId="0" fillId="0" borderId="11" xfId="0" applyFill="1" applyBorder="1" applyAlignment="1">
      <alignment horizontal="center" vertical="center"/>
    </xf>
    <xf numFmtId="0" fontId="0" fillId="0" borderId="11" xfId="0" applyFill="1" applyBorder="1" applyAlignment="1">
      <alignment/>
    </xf>
    <xf numFmtId="0" fontId="25" fillId="0" borderId="0" xfId="0" applyFont="1" applyBorder="1" applyAlignment="1">
      <alignment horizontal="center"/>
    </xf>
    <xf numFmtId="167" fontId="0" fillId="0" borderId="11" xfId="0" applyNumberFormat="1" applyFill="1" applyBorder="1" applyAlignment="1">
      <alignment horizontal="center"/>
    </xf>
    <xf numFmtId="0" fontId="28" fillId="0" borderId="0" xfId="0" applyFont="1" applyAlignment="1">
      <alignment wrapText="1"/>
    </xf>
    <xf numFmtId="0" fontId="0" fillId="0" borderId="0" xfId="0" applyBorder="1" applyAlignment="1" quotePrefix="1">
      <alignment horizontal="right"/>
    </xf>
    <xf numFmtId="0" fontId="25" fillId="0" borderId="0" xfId="0" applyFont="1" applyAlignment="1" applyProtection="1">
      <alignment horizontal="center"/>
      <protection locked="0"/>
    </xf>
    <xf numFmtId="0" fontId="0" fillId="0" borderId="0" xfId="0"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25" xfId="0" applyBorder="1" applyAlignment="1" applyProtection="1">
      <alignment/>
      <protection locked="0"/>
    </xf>
    <xf numFmtId="0" fontId="0" fillId="0" borderId="13" xfId="0" applyBorder="1" applyAlignment="1" applyProtection="1">
      <alignment/>
      <protection locked="0"/>
    </xf>
    <xf numFmtId="0" fontId="0" fillId="0" borderId="21" xfId="0" applyBorder="1" applyAlignment="1" applyProtection="1">
      <alignment/>
      <protection locked="0"/>
    </xf>
    <xf numFmtId="0" fontId="0" fillId="0" borderId="26" xfId="0" applyBorder="1" applyAlignment="1" applyProtection="1">
      <alignment/>
      <protection locked="0"/>
    </xf>
    <xf numFmtId="167" fontId="0" fillId="0" borderId="11" xfId="0" applyNumberFormat="1" applyFont="1" applyBorder="1" applyAlignment="1">
      <alignment horizontal="center"/>
    </xf>
    <xf numFmtId="0" fontId="4" fillId="34" borderId="11" xfId="0" applyFont="1" applyFill="1" applyBorder="1" applyAlignment="1">
      <alignment horizontal="center"/>
    </xf>
    <xf numFmtId="168" fontId="0" fillId="0" borderId="11" xfId="0" applyNumberFormat="1" applyFill="1" applyBorder="1" applyAlignment="1">
      <alignment horizontal="center" wrapText="1"/>
    </xf>
    <xf numFmtId="0" fontId="0" fillId="0" borderId="0" xfId="0" applyBorder="1" applyAlignment="1">
      <alignment horizontal="left" indent="1"/>
    </xf>
    <xf numFmtId="0" fontId="0" fillId="0" borderId="0" xfId="0" applyBorder="1" applyAlignment="1">
      <alignment horizontal="left" indent="2"/>
    </xf>
    <xf numFmtId="0" fontId="3" fillId="0" borderId="0" xfId="0" applyFont="1" applyFill="1" applyBorder="1" applyAlignment="1">
      <alignment/>
    </xf>
    <xf numFmtId="0" fontId="0" fillId="0" borderId="11" xfId="0" applyFill="1" applyBorder="1" applyAlignment="1">
      <alignment horizontal="center"/>
    </xf>
    <xf numFmtId="0" fontId="0" fillId="0" borderId="0" xfId="0" applyFill="1" applyAlignment="1">
      <alignment/>
    </xf>
    <xf numFmtId="0" fontId="0" fillId="0" borderId="0" xfId="0" applyFill="1" applyAlignment="1">
      <alignment wrapText="1"/>
    </xf>
    <xf numFmtId="0" fontId="0" fillId="0" borderId="0" xfId="0" applyFill="1" applyBorder="1" applyAlignment="1">
      <alignment horizontal="left" indent="2"/>
    </xf>
    <xf numFmtId="0" fontId="0" fillId="0" borderId="0" xfId="0" applyFill="1" applyBorder="1" applyAlignment="1">
      <alignment/>
    </xf>
    <xf numFmtId="0" fontId="29" fillId="0" borderId="0" xfId="0" applyFont="1" applyAlignment="1">
      <alignment horizontal="left" wrapText="1"/>
    </xf>
    <xf numFmtId="0" fontId="29" fillId="0" borderId="0" xfId="0" applyFont="1" applyAlignment="1">
      <alignment horizontal="left" indent="2"/>
    </xf>
    <xf numFmtId="0" fontId="0" fillId="0" borderId="16" xfId="0" applyBorder="1" applyAlignment="1">
      <alignment vertical="center" wrapText="1"/>
    </xf>
    <xf numFmtId="167" fontId="0" fillId="35" borderId="11" xfId="0" applyNumberFormat="1" applyFont="1" applyFill="1" applyBorder="1" applyAlignment="1">
      <alignment horizontal="center" wrapText="1"/>
    </xf>
    <xf numFmtId="167" fontId="4" fillId="35" borderId="11" xfId="0" applyNumberFormat="1" applyFont="1" applyFill="1" applyBorder="1" applyAlignment="1">
      <alignment horizontal="center" wrapText="1"/>
    </xf>
    <xf numFmtId="3" fontId="0" fillId="35" borderId="11" xfId="0" applyNumberFormat="1" applyFont="1" applyFill="1" applyBorder="1" applyAlignment="1">
      <alignment horizontal="center"/>
    </xf>
    <xf numFmtId="2" fontId="0" fillId="35" borderId="14" xfId="42" applyNumberFormat="1" applyFont="1" applyFill="1" applyBorder="1" applyAlignment="1">
      <alignment horizontal="center"/>
    </xf>
    <xf numFmtId="3" fontId="0" fillId="35" borderId="11" xfId="0" applyNumberFormat="1" applyFont="1" applyFill="1" applyBorder="1" applyAlignment="1" applyProtection="1">
      <alignment horizontal="center"/>
      <protection/>
    </xf>
    <xf numFmtId="3" fontId="0" fillId="35" borderId="11" xfId="0" applyNumberFormat="1" applyFill="1" applyBorder="1" applyAlignment="1">
      <alignment horizontal="center"/>
    </xf>
    <xf numFmtId="0" fontId="0" fillId="35" borderId="11" xfId="0" applyFill="1" applyBorder="1" applyAlignment="1">
      <alignment horizontal="center" wrapText="1"/>
    </xf>
    <xf numFmtId="3" fontId="4" fillId="35" borderId="11" xfId="0" applyNumberFormat="1" applyFont="1" applyFill="1" applyBorder="1" applyAlignment="1">
      <alignment horizontal="center"/>
    </xf>
    <xf numFmtId="0" fontId="0" fillId="35" borderId="11" xfId="0" applyFill="1" applyBorder="1" applyAlignment="1">
      <alignment horizontal="center"/>
    </xf>
    <xf numFmtId="167" fontId="4" fillId="35" borderId="11" xfId="0" applyNumberFormat="1" applyFont="1" applyFill="1" applyBorder="1" applyAlignment="1">
      <alignment horizontal="center"/>
    </xf>
    <xf numFmtId="1" fontId="0" fillId="35" borderId="11" xfId="0" applyNumberFormat="1" applyFont="1" applyFill="1" applyBorder="1" applyAlignment="1">
      <alignment horizontal="center"/>
    </xf>
    <xf numFmtId="164" fontId="0" fillId="35" borderId="11" xfId="0" applyNumberFormat="1" applyFont="1" applyFill="1" applyBorder="1" applyAlignment="1">
      <alignment horizontal="center"/>
    </xf>
    <xf numFmtId="3" fontId="0" fillId="35" borderId="11" xfId="0" applyNumberFormat="1" applyFont="1" applyFill="1" applyBorder="1" applyAlignment="1">
      <alignment/>
    </xf>
    <xf numFmtId="164" fontId="0" fillId="35" borderId="11" xfId="0" applyNumberFormat="1" applyFont="1" applyFill="1" applyBorder="1" applyAlignment="1">
      <alignment horizontal="right"/>
    </xf>
    <xf numFmtId="3" fontId="0" fillId="35" borderId="11" xfId="0" applyNumberFormat="1" applyFill="1" applyBorder="1" applyAlignment="1">
      <alignment horizontal="center" wrapText="1"/>
    </xf>
    <xf numFmtId="168" fontId="0" fillId="35" borderId="11" xfId="0" applyNumberFormat="1" applyFill="1" applyBorder="1" applyAlignment="1">
      <alignment horizontal="center" wrapText="1"/>
    </xf>
    <xf numFmtId="2" fontId="0" fillId="35" borderId="11" xfId="0" applyNumberFormat="1" applyFill="1" applyBorder="1" applyAlignment="1">
      <alignment horizontal="center"/>
    </xf>
    <xf numFmtId="168" fontId="0" fillId="35" borderId="11" xfId="0" applyNumberFormat="1" applyFill="1" applyBorder="1" applyAlignment="1">
      <alignment horizontal="center"/>
    </xf>
    <xf numFmtId="180" fontId="0" fillId="35" borderId="11" xfId="0" applyNumberFormat="1" applyFill="1" applyBorder="1" applyAlignment="1">
      <alignment horizontal="center"/>
    </xf>
    <xf numFmtId="4" fontId="0" fillId="35" borderId="11" xfId="0" applyNumberFormat="1" applyFill="1" applyBorder="1" applyAlignment="1">
      <alignment horizontal="center"/>
    </xf>
    <xf numFmtId="3" fontId="0" fillId="35" borderId="10" xfId="0" applyNumberFormat="1" applyFont="1" applyFill="1" applyBorder="1" applyAlignment="1">
      <alignment horizontal="center"/>
    </xf>
    <xf numFmtId="1" fontId="0" fillId="35" borderId="11" xfId="0" applyNumberFormat="1" applyFill="1" applyBorder="1" applyAlignment="1">
      <alignment horizontal="center"/>
    </xf>
    <xf numFmtId="0" fontId="0" fillId="33" borderId="22" xfId="0" applyFont="1" applyFill="1" applyBorder="1" applyAlignment="1">
      <alignment/>
    </xf>
    <xf numFmtId="3" fontId="0" fillId="34" borderId="14" xfId="0" applyNumberFormat="1" applyFont="1" applyFill="1" applyBorder="1" applyAlignment="1" applyProtection="1">
      <alignment horizontal="center"/>
      <protection locked="0"/>
    </xf>
    <xf numFmtId="2" fontId="0" fillId="0" borderId="35" xfId="0" applyNumberFormat="1" applyFont="1" applyFill="1" applyBorder="1" applyAlignment="1" applyProtection="1">
      <alignment horizontal="center"/>
      <protection locked="0"/>
    </xf>
    <xf numFmtId="2" fontId="0" fillId="34" borderId="33" xfId="0" applyNumberFormat="1" applyFont="1" applyFill="1" applyBorder="1" applyAlignment="1" applyProtection="1">
      <alignment horizontal="center"/>
      <protection locked="0"/>
    </xf>
    <xf numFmtId="1" fontId="0" fillId="34" borderId="11" xfId="0" applyNumberFormat="1" applyFont="1" applyFill="1" applyBorder="1" applyAlignment="1" applyProtection="1">
      <alignment horizontal="center"/>
      <protection locked="0"/>
    </xf>
    <xf numFmtId="0" fontId="6" fillId="0" borderId="0" xfId="0" applyFont="1" applyAlignment="1">
      <alignment/>
    </xf>
    <xf numFmtId="0" fontId="30" fillId="0" borderId="0" xfId="0" applyFont="1" applyFill="1" applyAlignment="1" quotePrefix="1">
      <alignment horizontal="left"/>
    </xf>
    <xf numFmtId="0" fontId="30" fillId="35" borderId="11" xfId="0" applyFont="1" applyFill="1" applyBorder="1" applyAlignment="1">
      <alignment horizontal="center"/>
    </xf>
    <xf numFmtId="0" fontId="30" fillId="34" borderId="11" xfId="0" applyFont="1" applyFill="1" applyBorder="1" applyAlignment="1">
      <alignment horizontal="center"/>
    </xf>
    <xf numFmtId="0" fontId="25" fillId="0" borderId="0" xfId="0"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Border="1" applyAlignment="1" quotePrefix="1">
      <alignment horizontal="left"/>
    </xf>
    <xf numFmtId="0" fontId="0" fillId="0" borderId="11" xfId="0" applyBorder="1" applyAlignment="1" applyProtection="1">
      <alignment/>
      <protection locked="0"/>
    </xf>
    <xf numFmtId="0" fontId="4" fillId="0" borderId="0" xfId="0" applyFont="1" applyAlignment="1" applyProtection="1">
      <alignment/>
      <protection locked="0"/>
    </xf>
    <xf numFmtId="0" fontId="32" fillId="0" borderId="0" xfId="0" applyFont="1" applyAlignment="1" applyProtection="1">
      <alignment horizontal="center"/>
      <protection locked="0"/>
    </xf>
    <xf numFmtId="0" fontId="15" fillId="0" borderId="14" xfId="0" applyFont="1" applyBorder="1" applyAlignment="1">
      <alignment horizontal="center" wrapText="1"/>
    </xf>
    <xf numFmtId="0" fontId="15" fillId="0" borderId="16" xfId="0" applyFont="1" applyBorder="1" applyAlignment="1">
      <alignment horizontal="center" wrapText="1"/>
    </xf>
    <xf numFmtId="1" fontId="0" fillId="0" borderId="20" xfId="0" applyNumberFormat="1" applyFont="1" applyBorder="1" applyAlignment="1">
      <alignment horizontal="center"/>
    </xf>
    <xf numFmtId="0" fontId="0" fillId="33" borderId="27" xfId="0" applyFont="1" applyFill="1" applyBorder="1" applyAlignment="1">
      <alignment wrapText="1"/>
    </xf>
    <xf numFmtId="3" fontId="0" fillId="35" borderId="28" xfId="0" applyNumberFormat="1" applyFont="1" applyFill="1" applyBorder="1" applyAlignment="1" applyProtection="1">
      <alignment horizontal="center"/>
      <protection/>
    </xf>
    <xf numFmtId="2" fontId="0" fillId="35" borderId="29" xfId="0" applyNumberFormat="1" applyFont="1" applyFill="1" applyBorder="1" applyAlignment="1" applyProtection="1">
      <alignment horizontal="center"/>
      <protection/>
    </xf>
    <xf numFmtId="0" fontId="0" fillId="33" borderId="31" xfId="0" applyFont="1" applyFill="1" applyBorder="1" applyAlignment="1">
      <alignment wrapText="1"/>
    </xf>
    <xf numFmtId="3" fontId="0" fillId="35" borderId="32" xfId="0" applyNumberFormat="1" applyFont="1" applyFill="1" applyBorder="1" applyAlignment="1" applyProtection="1">
      <alignment horizontal="center"/>
      <protection/>
    </xf>
    <xf numFmtId="2" fontId="24" fillId="36" borderId="33" xfId="0" applyNumberFormat="1" applyFont="1" applyFill="1" applyBorder="1" applyAlignment="1" applyProtection="1">
      <alignment horizontal="center" wrapText="1"/>
      <protection locked="0"/>
    </xf>
    <xf numFmtId="0" fontId="29" fillId="0" borderId="0" xfId="0" applyFont="1" applyAlignment="1">
      <alignment horizontal="left"/>
    </xf>
    <xf numFmtId="0" fontId="15" fillId="0" borderId="14" xfId="0" applyFont="1" applyBorder="1" applyAlignment="1">
      <alignment horizontal="center"/>
    </xf>
    <xf numFmtId="0" fontId="4" fillId="0" borderId="14" xfId="0" applyFont="1" applyFill="1" applyBorder="1" applyAlignment="1">
      <alignment horizontal="center"/>
    </xf>
    <xf numFmtId="0" fontId="15" fillId="0" borderId="16" xfId="0" applyFont="1" applyBorder="1" applyAlignment="1">
      <alignment horizontal="center"/>
    </xf>
    <xf numFmtId="0" fontId="4" fillId="0" borderId="16" xfId="0" applyFont="1" applyFill="1" applyBorder="1" applyAlignment="1">
      <alignment horizontal="center"/>
    </xf>
    <xf numFmtId="0" fontId="33" fillId="0" borderId="0" xfId="0" applyFont="1" applyAlignment="1" applyProtection="1">
      <alignment/>
      <protection locked="0"/>
    </xf>
    <xf numFmtId="0" fontId="0" fillId="0" borderId="0" xfId="0" applyAlignment="1" applyProtection="1">
      <alignment horizontal="right"/>
      <protection locked="0"/>
    </xf>
    <xf numFmtId="167" fontId="0" fillId="0" borderId="0" xfId="0" applyNumberFormat="1" applyBorder="1" applyAlignment="1" applyProtection="1">
      <alignment horizontal="center"/>
      <protection locked="0"/>
    </xf>
    <xf numFmtId="0" fontId="4" fillId="0" borderId="16" xfId="0" applyFont="1" applyBorder="1" applyAlignment="1">
      <alignment horizontal="center"/>
    </xf>
    <xf numFmtId="0" fontId="0" fillId="0" borderId="21" xfId="0" applyBorder="1" applyAlignment="1">
      <alignment horizontal="center"/>
    </xf>
    <xf numFmtId="0" fontId="0" fillId="0" borderId="0" xfId="0" applyAlignment="1" quotePrefix="1">
      <alignment/>
    </xf>
    <xf numFmtId="0" fontId="0" fillId="0" borderId="10" xfId="0" applyBorder="1" applyAlignment="1">
      <alignment horizontal="left"/>
    </xf>
    <xf numFmtId="0" fontId="0" fillId="0" borderId="10" xfId="0" applyBorder="1" applyAlignment="1">
      <alignment horizontal="center"/>
    </xf>
    <xf numFmtId="0" fontId="0" fillId="0" borderId="0" xfId="0" applyAlignment="1">
      <alignment horizontal="right"/>
    </xf>
    <xf numFmtId="0" fontId="4" fillId="0" borderId="28" xfId="0" applyFont="1" applyBorder="1" applyAlignment="1">
      <alignment horizontal="center"/>
    </xf>
    <xf numFmtId="0" fontId="4" fillId="0" borderId="29" xfId="0" applyFont="1" applyBorder="1" applyAlignment="1">
      <alignment horizontal="center"/>
    </xf>
    <xf numFmtId="0" fontId="0" fillId="34" borderId="30" xfId="0" applyFill="1" applyBorder="1" applyAlignment="1">
      <alignment horizontal="center"/>
    </xf>
    <xf numFmtId="2" fontId="0" fillId="34" borderId="11" xfId="0" applyNumberFormat="1" applyFill="1" applyBorder="1" applyAlignment="1">
      <alignment horizontal="center"/>
    </xf>
    <xf numFmtId="2" fontId="0" fillId="34" borderId="30" xfId="0" applyNumberFormat="1" applyFill="1" applyBorder="1" applyAlignment="1">
      <alignment horizontal="center"/>
    </xf>
    <xf numFmtId="1" fontId="0" fillId="34" borderId="11" xfId="0" applyNumberFormat="1" applyFill="1" applyBorder="1" applyAlignment="1">
      <alignment horizontal="center"/>
    </xf>
    <xf numFmtId="1" fontId="0" fillId="34" borderId="30" xfId="0" applyNumberFormat="1" applyFill="1" applyBorder="1" applyAlignment="1">
      <alignment horizontal="center"/>
    </xf>
    <xf numFmtId="171" fontId="0" fillId="35" borderId="11" xfId="0" applyNumberFormat="1" applyFill="1" applyBorder="1" applyAlignment="1">
      <alignment horizontal="center"/>
    </xf>
    <xf numFmtId="171" fontId="0" fillId="35" borderId="30" xfId="0" applyNumberFormat="1" applyFill="1" applyBorder="1" applyAlignment="1">
      <alignment horizontal="center"/>
    </xf>
    <xf numFmtId="167" fontId="0" fillId="34" borderId="11" xfId="0" applyNumberFormat="1" applyFill="1" applyBorder="1" applyAlignment="1">
      <alignment horizontal="center"/>
    </xf>
    <xf numFmtId="167" fontId="0" fillId="34" borderId="30" xfId="0" applyNumberFormat="1" applyFill="1" applyBorder="1" applyAlignment="1">
      <alignment horizontal="center"/>
    </xf>
    <xf numFmtId="2" fontId="0" fillId="35" borderId="30" xfId="0" applyNumberFormat="1" applyFill="1" applyBorder="1" applyAlignment="1">
      <alignment horizontal="center"/>
    </xf>
    <xf numFmtId="0" fontId="4" fillId="0" borderId="36" xfId="0" applyFont="1" applyBorder="1" applyAlignment="1">
      <alignment horizontal="center"/>
    </xf>
    <xf numFmtId="0" fontId="0" fillId="34" borderId="20" xfId="0" applyFill="1" applyBorder="1" applyAlignment="1">
      <alignment horizontal="center"/>
    </xf>
    <xf numFmtId="2" fontId="0" fillId="34" borderId="20" xfId="0" applyNumberFormat="1" applyFill="1" applyBorder="1" applyAlignment="1">
      <alignment horizontal="center"/>
    </xf>
    <xf numFmtId="1" fontId="0" fillId="34" borderId="20" xfId="0" applyNumberFormat="1" applyFill="1" applyBorder="1" applyAlignment="1">
      <alignment horizontal="center"/>
    </xf>
    <xf numFmtId="183" fontId="0" fillId="35" borderId="20" xfId="59" applyNumberFormat="1" applyFont="1" applyFill="1" applyBorder="1" applyAlignment="1">
      <alignment horizontal="center"/>
    </xf>
    <xf numFmtId="171" fontId="0" fillId="35" borderId="20" xfId="0" applyNumberFormat="1" applyFill="1" applyBorder="1" applyAlignment="1">
      <alignment horizontal="center"/>
    </xf>
    <xf numFmtId="167" fontId="0" fillId="34" borderId="20" xfId="0" applyNumberFormat="1" applyFill="1" applyBorder="1" applyAlignment="1">
      <alignment horizontal="center"/>
    </xf>
    <xf numFmtId="2" fontId="0" fillId="35" borderId="20" xfId="0" applyNumberFormat="1" applyFill="1" applyBorder="1" applyAlignment="1">
      <alignment horizontal="center"/>
    </xf>
    <xf numFmtId="0" fontId="4" fillId="0" borderId="37" xfId="0" applyFont="1" applyBorder="1" applyAlignment="1">
      <alignment horizontal="right"/>
    </xf>
    <xf numFmtId="0" fontId="0" fillId="0" borderId="38" xfId="0" applyBorder="1" applyAlignment="1">
      <alignment horizontal="right"/>
    </xf>
    <xf numFmtId="0" fontId="0" fillId="0" borderId="39" xfId="0" applyBorder="1" applyAlignment="1">
      <alignment/>
    </xf>
    <xf numFmtId="0" fontId="0" fillId="0" borderId="40" xfId="0" applyBorder="1" applyAlignment="1">
      <alignment horizontal="right"/>
    </xf>
    <xf numFmtId="0" fontId="0" fillId="0" borderId="41" xfId="0" applyBorder="1" applyAlignment="1">
      <alignment horizontal="left"/>
    </xf>
    <xf numFmtId="0" fontId="0" fillId="0" borderId="41" xfId="0" applyBorder="1" applyAlignment="1">
      <alignment/>
    </xf>
    <xf numFmtId="0" fontId="0" fillId="0" borderId="42" xfId="0" applyBorder="1" applyAlignment="1">
      <alignment/>
    </xf>
    <xf numFmtId="0" fontId="0" fillId="0" borderId="34"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6" fillId="0" borderId="44" xfId="0" applyFont="1" applyBorder="1" applyAlignment="1">
      <alignment horizontal="center"/>
    </xf>
    <xf numFmtId="0" fontId="0" fillId="0" borderId="45" xfId="0" applyBorder="1" applyAlignment="1">
      <alignment/>
    </xf>
    <xf numFmtId="0" fontId="26" fillId="0" borderId="0" xfId="0" applyFont="1" applyBorder="1" applyAlignment="1">
      <alignment horizontal="center"/>
    </xf>
    <xf numFmtId="0" fontId="0" fillId="0" borderId="46" xfId="0" applyBorder="1" applyAlignment="1">
      <alignment horizontal="right"/>
    </xf>
    <xf numFmtId="0" fontId="0" fillId="0" borderId="46" xfId="0" applyBorder="1" applyAlignment="1">
      <alignment horizontal="center"/>
    </xf>
    <xf numFmtId="0" fontId="26" fillId="0" borderId="46" xfId="0" applyFont="1" applyBorder="1" applyAlignment="1">
      <alignment/>
    </xf>
    <xf numFmtId="0" fontId="0" fillId="0" borderId="47" xfId="0" applyBorder="1" applyAlignment="1">
      <alignment/>
    </xf>
    <xf numFmtId="0" fontId="4" fillId="0" borderId="48" xfId="0" applyFont="1" applyBorder="1" applyAlignment="1">
      <alignment horizontal="center"/>
    </xf>
    <xf numFmtId="0" fontId="26" fillId="0" borderId="0" xfId="0" applyFont="1" applyAlignment="1">
      <alignment horizontal="right"/>
    </xf>
    <xf numFmtId="2" fontId="0" fillId="34" borderId="49" xfId="0" applyNumberFormat="1" applyFill="1" applyBorder="1" applyAlignment="1">
      <alignment horizontal="center"/>
    </xf>
    <xf numFmtId="2" fontId="0" fillId="34" borderId="21" xfId="0" applyNumberFormat="1" applyFill="1" applyBorder="1" applyAlignment="1">
      <alignment horizontal="center"/>
    </xf>
    <xf numFmtId="2" fontId="0" fillId="34" borderId="50" xfId="0" applyNumberFormat="1" applyFill="1" applyBorder="1" applyAlignment="1">
      <alignment horizontal="center"/>
    </xf>
    <xf numFmtId="164" fontId="0" fillId="35" borderId="11" xfId="0" applyNumberFormat="1" applyFill="1" applyBorder="1" applyAlignment="1">
      <alignment horizontal="center"/>
    </xf>
    <xf numFmtId="2" fontId="0" fillId="34" borderId="34" xfId="0" applyNumberFormat="1" applyFill="1" applyBorder="1" applyAlignment="1">
      <alignment horizontal="center"/>
    </xf>
    <xf numFmtId="2" fontId="0" fillId="35" borderId="43" xfId="0" applyNumberFormat="1" applyFill="1" applyBorder="1" applyAlignment="1">
      <alignment horizontal="center"/>
    </xf>
    <xf numFmtId="2" fontId="0" fillId="34" borderId="51" xfId="0" applyNumberFormat="1" applyFill="1" applyBorder="1" applyAlignment="1">
      <alignment horizontal="center"/>
    </xf>
    <xf numFmtId="164" fontId="0" fillId="35" borderId="14" xfId="0" applyNumberFormat="1" applyFill="1" applyBorder="1" applyAlignment="1">
      <alignment horizontal="center"/>
    </xf>
    <xf numFmtId="2" fontId="0" fillId="34" borderId="23" xfId="0" applyNumberFormat="1" applyFill="1" applyBorder="1" applyAlignment="1">
      <alignment horizontal="center"/>
    </xf>
    <xf numFmtId="2" fontId="0" fillId="34" borderId="52" xfId="0" applyNumberFormat="1" applyFill="1" applyBorder="1" applyAlignment="1">
      <alignment horizontal="center"/>
    </xf>
    <xf numFmtId="2" fontId="0" fillId="34" borderId="53" xfId="0" applyNumberFormat="1" applyFill="1" applyBorder="1" applyAlignment="1">
      <alignment horizontal="center"/>
    </xf>
    <xf numFmtId="2" fontId="0" fillId="34" borderId="54" xfId="0" applyNumberFormat="1" applyFill="1" applyBorder="1" applyAlignment="1">
      <alignment horizontal="center"/>
    </xf>
    <xf numFmtId="2" fontId="4" fillId="35" borderId="42" xfId="0" applyNumberFormat="1" applyFont="1" applyFill="1" applyBorder="1" applyAlignment="1">
      <alignment horizontal="center"/>
    </xf>
    <xf numFmtId="2" fontId="0" fillId="35" borderId="50" xfId="0" applyNumberFormat="1" applyFill="1" applyBorder="1" applyAlignment="1">
      <alignment horizontal="center"/>
    </xf>
    <xf numFmtId="2" fontId="0" fillId="35" borderId="34" xfId="0" applyNumberFormat="1" applyFill="1" applyBorder="1" applyAlignment="1">
      <alignment horizontal="center"/>
    </xf>
    <xf numFmtId="2" fontId="0" fillId="35" borderId="53" xfId="0" applyNumberFormat="1" applyFill="1" applyBorder="1" applyAlignment="1">
      <alignment horizontal="center"/>
    </xf>
    <xf numFmtId="0" fontId="4" fillId="0" borderId="55" xfId="0" applyFont="1" applyBorder="1" applyAlignment="1">
      <alignment horizontal="right"/>
    </xf>
    <xf numFmtId="0" fontId="0" fillId="0" borderId="56" xfId="0" applyBorder="1" applyAlignment="1">
      <alignment horizontal="right"/>
    </xf>
    <xf numFmtId="0" fontId="0" fillId="0" borderId="57" xfId="0" applyBorder="1" applyAlignment="1">
      <alignment horizontal="right"/>
    </xf>
    <xf numFmtId="0" fontId="4" fillId="0" borderId="58" xfId="0" applyFont="1" applyBorder="1" applyAlignment="1">
      <alignment horizontal="center"/>
    </xf>
    <xf numFmtId="2" fontId="0" fillId="35" borderId="59" xfId="0" applyNumberFormat="1" applyFill="1" applyBorder="1" applyAlignment="1">
      <alignment horizontal="center"/>
    </xf>
    <xf numFmtId="2" fontId="26" fillId="35" borderId="60" xfId="0" applyNumberFormat="1" applyFont="1" applyFill="1" applyBorder="1" applyAlignment="1">
      <alignment horizontal="center"/>
    </xf>
    <xf numFmtId="0" fontId="4" fillId="0" borderId="41" xfId="0" applyFont="1" applyBorder="1" applyAlignment="1">
      <alignment horizontal="right"/>
    </xf>
    <xf numFmtId="2" fontId="4" fillId="0" borderId="0" xfId="0" applyNumberFormat="1" applyFont="1" applyFill="1" applyBorder="1" applyAlignment="1">
      <alignment horizontal="center"/>
    </xf>
    <xf numFmtId="171" fontId="0" fillId="35" borderId="43" xfId="0" applyNumberFormat="1" applyFill="1" applyBorder="1" applyAlignment="1">
      <alignment horizontal="center"/>
    </xf>
    <xf numFmtId="2" fontId="4" fillId="0" borderId="39" xfId="0" applyNumberFormat="1" applyFont="1" applyFill="1" applyBorder="1" applyAlignment="1">
      <alignment horizontal="center"/>
    </xf>
    <xf numFmtId="0" fontId="4" fillId="0" borderId="61" xfId="0" applyFont="1" applyBorder="1" applyAlignment="1">
      <alignment horizontal="center"/>
    </xf>
    <xf numFmtId="0" fontId="26" fillId="0" borderId="62" xfId="0" applyFont="1" applyBorder="1" applyAlignment="1">
      <alignment/>
    </xf>
    <xf numFmtId="0" fontId="0" fillId="34" borderId="10" xfId="0" applyFill="1" applyBorder="1" applyAlignment="1">
      <alignment/>
    </xf>
    <xf numFmtId="0" fontId="0" fillId="34" borderId="34" xfId="0" applyFill="1" applyBorder="1" applyAlignment="1">
      <alignment/>
    </xf>
    <xf numFmtId="0" fontId="0" fillId="34" borderId="20" xfId="0" applyFill="1" applyBorder="1" applyAlignment="1">
      <alignment/>
    </xf>
    <xf numFmtId="0" fontId="35" fillId="0" borderId="34" xfId="0" applyFont="1" applyBorder="1" applyAlignment="1">
      <alignment/>
    </xf>
    <xf numFmtId="2" fontId="4" fillId="35" borderId="11" xfId="0" applyNumberFormat="1" applyFont="1" applyFill="1" applyBorder="1" applyAlignment="1">
      <alignment horizontal="center"/>
    </xf>
    <xf numFmtId="2" fontId="4" fillId="35" borderId="30" xfId="0" applyNumberFormat="1" applyFont="1" applyFill="1" applyBorder="1" applyAlignment="1">
      <alignment horizontal="center"/>
    </xf>
    <xf numFmtId="2" fontId="4" fillId="35" borderId="20" xfId="0" applyNumberFormat="1" applyFont="1" applyFill="1" applyBorder="1" applyAlignment="1">
      <alignment horizontal="center"/>
    </xf>
    <xf numFmtId="0" fontId="13" fillId="0" borderId="0" xfId="0" applyFont="1" applyAlignment="1">
      <alignment/>
    </xf>
    <xf numFmtId="183" fontId="0" fillId="35" borderId="30" xfId="59" applyNumberFormat="1" applyFont="1" applyFill="1" applyBorder="1" applyAlignment="1">
      <alignment horizontal="center"/>
    </xf>
    <xf numFmtId="0" fontId="0" fillId="34" borderId="20" xfId="0" applyFill="1" applyBorder="1" applyAlignment="1">
      <alignment/>
    </xf>
    <xf numFmtId="0" fontId="0" fillId="34" borderId="10" xfId="0" applyFill="1" applyBorder="1" applyAlignment="1">
      <alignment horizontal="left"/>
    </xf>
    <xf numFmtId="167" fontId="0" fillId="34" borderId="11" xfId="0" applyNumberFormat="1" applyFont="1" applyFill="1" applyBorder="1" applyAlignment="1">
      <alignment horizontal="center"/>
    </xf>
    <xf numFmtId="180" fontId="0" fillId="35" borderId="11" xfId="0" applyNumberFormat="1" applyFont="1" applyFill="1" applyBorder="1" applyAlignment="1">
      <alignment horizontal="center"/>
    </xf>
    <xf numFmtId="0" fontId="35" fillId="0" borderId="0" xfId="0" applyFont="1" applyAlignment="1">
      <alignment/>
    </xf>
    <xf numFmtId="0" fontId="35" fillId="33" borderId="0" xfId="0" applyFont="1" applyFill="1" applyAlignment="1">
      <alignment/>
    </xf>
    <xf numFmtId="180" fontId="0" fillId="33" borderId="11" xfId="0" applyNumberFormat="1" applyFont="1" applyFill="1" applyBorder="1" applyAlignment="1">
      <alignment horizontal="center"/>
    </xf>
    <xf numFmtId="0" fontId="4" fillId="33" borderId="11" xfId="0" applyFont="1" applyFill="1" applyBorder="1" applyAlignment="1">
      <alignment horizontal="center" vertical="top" wrapText="1"/>
    </xf>
    <xf numFmtId="2" fontId="26" fillId="34" borderId="11" xfId="0" applyNumberFormat="1" applyFont="1" applyFill="1" applyBorder="1" applyAlignment="1">
      <alignment horizontal="center"/>
    </xf>
    <xf numFmtId="0" fontId="4" fillId="0" borderId="0" xfId="0" applyFont="1" applyBorder="1" applyAlignment="1">
      <alignment horizontal="right"/>
    </xf>
    <xf numFmtId="2" fontId="4" fillId="35" borderId="39" xfId="0" applyNumberFormat="1" applyFont="1" applyFill="1" applyBorder="1" applyAlignment="1">
      <alignment horizontal="center"/>
    </xf>
    <xf numFmtId="0" fontId="0" fillId="0" borderId="63" xfId="0" applyBorder="1" applyAlignment="1">
      <alignment horizontal="center"/>
    </xf>
    <xf numFmtId="0" fontId="0" fillId="0" borderId="0" xfId="0" applyBorder="1" applyAlignment="1" applyProtection="1">
      <alignment horizontal="left"/>
      <protection locked="0"/>
    </xf>
    <xf numFmtId="0" fontId="4" fillId="0" borderId="14" xfId="0" applyFont="1" applyBorder="1" applyAlignment="1">
      <alignment horizontal="center" wrapText="1"/>
    </xf>
    <xf numFmtId="2" fontId="8" fillId="0" borderId="11" xfId="0" applyNumberFormat="1" applyFont="1" applyBorder="1" applyAlignment="1">
      <alignment horizontal="center"/>
    </xf>
    <xf numFmtId="2" fontId="0" fillId="0" borderId="11" xfId="0" applyNumberFormat="1" applyFill="1" applyBorder="1" applyAlignment="1">
      <alignment horizontal="center"/>
    </xf>
    <xf numFmtId="0" fontId="4" fillId="0" borderId="0" xfId="0" applyFont="1" applyBorder="1" applyAlignment="1">
      <alignment horizontal="center" wrapText="1"/>
    </xf>
    <xf numFmtId="0" fontId="34" fillId="0" borderId="0" xfId="0" applyFont="1" applyAlignment="1">
      <alignment/>
    </xf>
    <xf numFmtId="167" fontId="0" fillId="35" borderId="11" xfId="0" applyNumberFormat="1" applyFont="1" applyFill="1" applyBorder="1" applyAlignment="1" applyProtection="1">
      <alignment horizontal="center"/>
      <protection/>
    </xf>
    <xf numFmtId="167" fontId="0" fillId="0" borderId="21" xfId="0" applyNumberFormat="1" applyFont="1" applyBorder="1" applyAlignment="1" applyProtection="1">
      <alignment horizontal="center"/>
      <protection locked="0"/>
    </xf>
    <xf numFmtId="167" fontId="0" fillId="0" borderId="0" xfId="0" applyNumberFormat="1" applyFont="1" applyBorder="1" applyAlignment="1" applyProtection="1">
      <alignment horizontal="left"/>
      <protection locked="0"/>
    </xf>
    <xf numFmtId="0" fontId="0" fillId="0" borderId="0" xfId="0" applyFont="1" applyBorder="1" applyAlignment="1">
      <alignment horizontal="left" indent="1"/>
    </xf>
    <xf numFmtId="3" fontId="4" fillId="0" borderId="0" xfId="0" applyNumberFormat="1" applyFont="1" applyFill="1" applyBorder="1" applyAlignment="1">
      <alignment horizontal="center"/>
    </xf>
    <xf numFmtId="49" fontId="36" fillId="0" borderId="11" xfId="0" applyNumberFormat="1" applyFont="1" applyFill="1" applyBorder="1" applyAlignment="1">
      <alignment vertical="top" wrapText="1"/>
    </xf>
    <xf numFmtId="3" fontId="0" fillId="35" borderId="11" xfId="0" applyNumberFormat="1" applyFill="1" applyBorder="1" applyAlignment="1">
      <alignment horizontal="center" vertical="center"/>
    </xf>
    <xf numFmtId="0" fontId="0" fillId="35" borderId="11" xfId="0" applyFill="1" applyBorder="1" applyAlignment="1">
      <alignment horizontal="center" vertical="center" wrapText="1"/>
    </xf>
    <xf numFmtId="1" fontId="0" fillId="35" borderId="11" xfId="0" applyNumberFormat="1" applyFill="1" applyBorder="1" applyAlignment="1">
      <alignment horizontal="center" vertical="center"/>
    </xf>
    <xf numFmtId="1" fontId="4" fillId="35" borderId="11" xfId="0" applyNumberFormat="1" applyFont="1" applyFill="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34" borderId="11" xfId="0" applyFont="1" applyFill="1" applyBorder="1" applyAlignment="1">
      <alignment horizontal="center" vertical="center"/>
    </xf>
    <xf numFmtId="0" fontId="36" fillId="0" borderId="11" xfId="0" applyNumberFormat="1" applyFont="1" applyFill="1" applyBorder="1" applyAlignment="1">
      <alignment vertical="top" wrapText="1"/>
    </xf>
    <xf numFmtId="0" fontId="4" fillId="0" borderId="11" xfId="0" applyFont="1" applyBorder="1" applyAlignment="1">
      <alignment horizontal="center" vertical="center" wrapText="1"/>
    </xf>
    <xf numFmtId="0" fontId="2" fillId="0" borderId="13" xfId="0" applyFont="1" applyBorder="1" applyAlignment="1">
      <alignment/>
    </xf>
    <xf numFmtId="0" fontId="2" fillId="0" borderId="26" xfId="0" applyFont="1" applyBorder="1" applyAlignment="1">
      <alignment/>
    </xf>
    <xf numFmtId="180" fontId="0" fillId="0" borderId="0" xfId="0" applyNumberFormat="1" applyFont="1" applyFill="1" applyBorder="1" applyAlignment="1">
      <alignment horizontal="center"/>
    </xf>
    <xf numFmtId="0" fontId="0" fillId="0" borderId="20" xfId="0" applyBorder="1" applyAlignment="1">
      <alignment horizontal="left"/>
    </xf>
    <xf numFmtId="0" fontId="0" fillId="0" borderId="10" xfId="0" applyFont="1" applyBorder="1" applyAlignment="1">
      <alignment horizontal="left"/>
    </xf>
    <xf numFmtId="0" fontId="3" fillId="0" borderId="0" xfId="0" applyFont="1" applyAlignment="1">
      <alignment/>
    </xf>
    <xf numFmtId="0" fontId="4" fillId="0" borderId="11" xfId="0" applyFont="1" applyFill="1" applyBorder="1" applyAlignment="1">
      <alignment horizontal="center"/>
    </xf>
    <xf numFmtId="0" fontId="0" fillId="0" borderId="11" xfId="0" applyFont="1" applyFill="1" applyBorder="1" applyAlignment="1">
      <alignment/>
    </xf>
    <xf numFmtId="3" fontId="0" fillId="35" borderId="14" xfId="0" applyNumberFormat="1" applyFont="1" applyFill="1" applyBorder="1" applyAlignment="1">
      <alignment horizontal="center"/>
    </xf>
    <xf numFmtId="4" fontId="0" fillId="35" borderId="11" xfId="0" applyNumberFormat="1" applyFont="1" applyFill="1" applyBorder="1" applyAlignment="1">
      <alignment horizontal="center"/>
    </xf>
    <xf numFmtId="0" fontId="3" fillId="0" borderId="0" xfId="0" applyFont="1" applyFill="1" applyAlignment="1">
      <alignment wrapText="1"/>
    </xf>
    <xf numFmtId="0" fontId="0" fillId="0" borderId="20" xfId="0" applyBorder="1" applyAlignment="1">
      <alignment horizontal="center"/>
    </xf>
    <xf numFmtId="0" fontId="15" fillId="0" borderId="14" xfId="0" applyFont="1" applyFill="1" applyBorder="1" applyAlignment="1">
      <alignment horizontal="right"/>
    </xf>
    <xf numFmtId="1" fontId="0" fillId="0" borderId="11" xfId="0" applyNumberFormat="1" applyFont="1" applyFill="1" applyBorder="1" applyAlignment="1">
      <alignment horizontal="center"/>
    </xf>
    <xf numFmtId="0" fontId="31" fillId="0" borderId="0" xfId="0" applyFont="1" applyAlignment="1" applyProtection="1">
      <alignment horizontal="left"/>
      <protection locked="0"/>
    </xf>
    <xf numFmtId="3" fontId="0" fillId="0" borderId="21" xfId="42" applyNumberFormat="1" applyFon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42" applyNumberFormat="1" applyFont="1" applyBorder="1" applyAlignment="1" applyProtection="1">
      <alignment horizontal="left"/>
      <protection locked="0"/>
    </xf>
    <xf numFmtId="167" fontId="0" fillId="0" borderId="0" xfId="0" applyNumberFormat="1" applyBorder="1" applyAlignment="1" applyProtection="1">
      <alignment horizontal="left"/>
      <protection locked="0"/>
    </xf>
    <xf numFmtId="4" fontId="0" fillId="0" borderId="21" xfId="42" applyNumberFormat="1" applyFont="1" applyBorder="1" applyAlignment="1" applyProtection="1">
      <alignment horizontal="center"/>
      <protection locked="0"/>
    </xf>
    <xf numFmtId="1" fontId="0" fillId="0" borderId="21" xfId="0" applyNumberFormat="1" applyBorder="1" applyAlignment="1" applyProtection="1">
      <alignment horizontal="center"/>
      <protection locked="0"/>
    </xf>
    <xf numFmtId="167" fontId="4" fillId="0" borderId="18" xfId="0" applyNumberFormat="1" applyFont="1" applyFill="1" applyBorder="1" applyAlignment="1">
      <alignment horizontal="center" wrapText="1"/>
    </xf>
    <xf numFmtId="0" fontId="4" fillId="0" borderId="16" xfId="0" applyFont="1" applyBorder="1" applyAlignment="1">
      <alignment horizontal="center" wrapText="1"/>
    </xf>
    <xf numFmtId="0" fontId="4" fillId="0" borderId="14" xfId="0" applyFont="1" applyBorder="1" applyAlignment="1">
      <alignment horizontal="center"/>
    </xf>
    <xf numFmtId="167" fontId="0" fillId="0" borderId="0" xfId="0" applyNumberFormat="1" applyFont="1" applyBorder="1" applyAlignment="1" applyProtection="1">
      <alignment vertical="center" wrapText="1"/>
      <protection locked="0"/>
    </xf>
    <xf numFmtId="0" fontId="0" fillId="0" borderId="0" xfId="0" applyAlignment="1">
      <alignment vertical="center" wrapText="1"/>
    </xf>
    <xf numFmtId="167" fontId="4" fillId="0" borderId="0" xfId="0" applyNumberFormat="1" applyFont="1" applyBorder="1" applyAlignment="1" applyProtection="1">
      <alignment vertical="top" wrapText="1"/>
      <protection locked="0"/>
    </xf>
    <xf numFmtId="0" fontId="0" fillId="0" borderId="0" xfId="0" applyAlignment="1">
      <alignment vertical="top" wrapText="1"/>
    </xf>
    <xf numFmtId="0" fontId="0" fillId="0" borderId="21" xfId="0" applyBorder="1" applyAlignment="1" applyProtection="1">
      <alignment horizontal="left"/>
      <protection locked="0"/>
    </xf>
    <xf numFmtId="0" fontId="31" fillId="0" borderId="0" xfId="0" applyFont="1" applyAlignment="1" applyProtection="1">
      <alignment horizontal="left"/>
      <protection locked="0"/>
    </xf>
    <xf numFmtId="0" fontId="25" fillId="0" borderId="0" xfId="0" applyFont="1" applyAlignment="1" applyProtection="1">
      <alignment horizontal="center"/>
      <protection locked="0"/>
    </xf>
    <xf numFmtId="0" fontId="32" fillId="0" borderId="0" xfId="0" applyFont="1" applyAlignment="1" applyProtection="1">
      <alignment horizontal="center"/>
      <protection locked="0"/>
    </xf>
    <xf numFmtId="0" fontId="0" fillId="0" borderId="0" xfId="0" applyBorder="1" applyAlignment="1" applyProtection="1">
      <alignment horizontal="right" indent="1"/>
      <protection locked="0"/>
    </xf>
    <xf numFmtId="182" fontId="0" fillId="0" borderId="21" xfId="0" applyNumberFormat="1" applyBorder="1" applyAlignment="1" applyProtection="1">
      <alignment horizontal="center"/>
      <protection locked="0"/>
    </xf>
    <xf numFmtId="0" fontId="0" fillId="0" borderId="21" xfId="0" applyBorder="1" applyAlignment="1" applyProtection="1">
      <alignment horizontal="center"/>
      <protection locked="0"/>
    </xf>
    <xf numFmtId="0" fontId="25" fillId="0" borderId="0" xfId="0" applyFont="1" applyAlignment="1">
      <alignment horizontal="center"/>
    </xf>
    <xf numFmtId="0" fontId="26" fillId="36" borderId="41" xfId="0" applyFont="1" applyFill="1" applyBorder="1" applyAlignment="1">
      <alignment horizontal="center"/>
    </xf>
    <xf numFmtId="0" fontId="34" fillId="36" borderId="41" xfId="0" applyFont="1" applyFill="1" applyBorder="1" applyAlignment="1">
      <alignment horizontal="center"/>
    </xf>
    <xf numFmtId="0" fontId="0" fillId="0" borderId="21" xfId="0" applyBorder="1" applyAlignment="1">
      <alignment horizontal="left"/>
    </xf>
    <xf numFmtId="0" fontId="0" fillId="0" borderId="34" xfId="0" applyBorder="1" applyAlignment="1">
      <alignment horizontal="left"/>
    </xf>
    <xf numFmtId="0" fontId="0" fillId="0" borderId="63" xfId="0" applyBorder="1" applyAlignment="1">
      <alignment vertical="top" wrapText="1"/>
    </xf>
    <xf numFmtId="0" fontId="0" fillId="0" borderId="64" xfId="0" applyBorder="1" applyAlignment="1">
      <alignment vertical="top" wrapText="1"/>
    </xf>
    <xf numFmtId="0" fontId="0" fillId="0" borderId="11" xfId="0" applyFont="1" applyBorder="1" applyAlignment="1">
      <alignmen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ont="1" applyAlignment="1">
      <alignment horizontal="left" wrapText="1"/>
    </xf>
    <xf numFmtId="2" fontId="4" fillId="0" borderId="14" xfId="0" applyNumberFormat="1" applyFont="1" applyFill="1" applyBorder="1" applyAlignment="1">
      <alignment horizontal="center" wrapText="1"/>
    </xf>
    <xf numFmtId="2" fontId="4" fillId="0" borderId="16" xfId="0" applyNumberFormat="1" applyFont="1" applyFill="1" applyBorder="1" applyAlignment="1">
      <alignment horizontal="center" wrapText="1"/>
    </xf>
    <xf numFmtId="0" fontId="0" fillId="0" borderId="10" xfId="0" applyFont="1" applyBorder="1" applyAlignment="1">
      <alignment horizontal="left" wrapText="1"/>
    </xf>
    <xf numFmtId="0" fontId="0" fillId="0" borderId="34" xfId="0" applyFont="1" applyBorder="1" applyAlignment="1">
      <alignment horizontal="left" wrapText="1"/>
    </xf>
    <xf numFmtId="0" fontId="0" fillId="0" borderId="20" xfId="0" applyFont="1" applyBorder="1" applyAlignment="1">
      <alignment horizontal="left" wrapText="1"/>
    </xf>
    <xf numFmtId="0" fontId="0" fillId="0" borderId="10" xfId="0" applyFont="1" applyBorder="1" applyAlignment="1">
      <alignment horizontal="left" vertical="top" wrapText="1"/>
    </xf>
    <xf numFmtId="0" fontId="0" fillId="0" borderId="34" xfId="0" applyFont="1" applyBorder="1" applyAlignment="1">
      <alignment horizontal="left" vertical="top" wrapText="1"/>
    </xf>
    <xf numFmtId="0" fontId="0" fillId="0" borderId="20" xfId="0" applyFont="1" applyBorder="1" applyAlignment="1">
      <alignment horizontal="left" vertical="top" wrapText="1"/>
    </xf>
    <xf numFmtId="2" fontId="4" fillId="0" borderId="22" xfId="0" applyNumberFormat="1" applyFont="1" applyFill="1" applyBorder="1" applyAlignment="1">
      <alignment horizontal="center"/>
    </xf>
    <xf numFmtId="2" fontId="4" fillId="0" borderId="23" xfId="0" applyNumberFormat="1" applyFont="1" applyFill="1" applyBorder="1" applyAlignment="1">
      <alignment horizontal="center"/>
    </xf>
    <xf numFmtId="2" fontId="4" fillId="0" borderId="24" xfId="0" applyNumberFormat="1" applyFont="1" applyFill="1" applyBorder="1" applyAlignment="1">
      <alignment horizontal="center"/>
    </xf>
    <xf numFmtId="2" fontId="4" fillId="0" borderId="13" xfId="0" applyNumberFormat="1" applyFont="1" applyFill="1" applyBorder="1" applyAlignment="1">
      <alignment horizontal="center"/>
    </xf>
    <xf numFmtId="2" fontId="4" fillId="0" borderId="21" xfId="0" applyNumberFormat="1" applyFont="1" applyFill="1" applyBorder="1" applyAlignment="1">
      <alignment horizontal="center"/>
    </xf>
    <xf numFmtId="2" fontId="4" fillId="0" borderId="26" xfId="0" applyNumberFormat="1" applyFont="1" applyFill="1" applyBorder="1" applyAlignment="1">
      <alignment horizontal="center"/>
    </xf>
    <xf numFmtId="0" fontId="0" fillId="0" borderId="22" xfId="0" applyFont="1" applyBorder="1" applyAlignment="1">
      <alignment horizontal="center" wrapText="1"/>
    </xf>
    <xf numFmtId="0" fontId="0" fillId="0" borderId="23" xfId="0" applyFont="1" applyBorder="1" applyAlignment="1">
      <alignment horizontal="center" wrapText="1"/>
    </xf>
    <xf numFmtId="0" fontId="4" fillId="0" borderId="14" xfId="0" applyFont="1" applyBorder="1" applyAlignment="1">
      <alignment horizontal="center" wrapText="1"/>
    </xf>
    <xf numFmtId="0" fontId="4" fillId="0" borderId="16" xfId="0" applyFont="1" applyBorder="1" applyAlignment="1">
      <alignment horizontal="center" wrapText="1"/>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10" xfId="0" applyFont="1" applyBorder="1" applyAlignment="1">
      <alignment wrapText="1"/>
    </xf>
    <xf numFmtId="0" fontId="0" fillId="0" borderId="34" xfId="0" applyFont="1" applyBorder="1" applyAlignment="1">
      <alignment wrapText="1"/>
    </xf>
    <xf numFmtId="0" fontId="0" fillId="0" borderId="20" xfId="0" applyFont="1" applyBorder="1" applyAlignment="1">
      <alignment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7" xfId="0" applyFont="1" applyFill="1" applyBorder="1" applyAlignment="1">
      <alignment horizontal="center" vertical="center"/>
    </xf>
    <xf numFmtId="1" fontId="10" fillId="34" borderId="10" xfId="0" applyNumberFormat="1" applyFont="1" applyFill="1" applyBorder="1" applyAlignment="1">
      <alignment horizontal="left" wrapText="1"/>
    </xf>
    <xf numFmtId="1" fontId="10" fillId="34" borderId="34" xfId="0" applyNumberFormat="1" applyFont="1" applyFill="1" applyBorder="1" applyAlignment="1">
      <alignment horizontal="left" wrapText="1"/>
    </xf>
    <xf numFmtId="1" fontId="10" fillId="34" borderId="20" xfId="0" applyNumberFormat="1" applyFont="1" applyFill="1" applyBorder="1" applyAlignment="1">
      <alignment horizontal="left" wrapText="1"/>
    </xf>
    <xf numFmtId="167" fontId="0" fillId="0" borderId="10" xfId="0" applyNumberFormat="1" applyFont="1" applyBorder="1" applyAlignment="1">
      <alignment horizontal="center" wrapText="1"/>
    </xf>
    <xf numFmtId="167" fontId="0" fillId="0" borderId="20" xfId="0" applyNumberFormat="1" applyFont="1" applyBorder="1" applyAlignment="1">
      <alignment horizontal="center" wrapText="1"/>
    </xf>
    <xf numFmtId="0" fontId="15" fillId="0" borderId="14" xfId="0" applyFont="1" applyBorder="1" applyAlignment="1">
      <alignment horizontal="center" wrapText="1"/>
    </xf>
    <xf numFmtId="0" fontId="0" fillId="0" borderId="16" xfId="0" applyBorder="1" applyAlignment="1">
      <alignment horizontal="center" wrapText="1"/>
    </xf>
    <xf numFmtId="0" fontId="29" fillId="0" borderId="0" xfId="0" applyFont="1" applyAlignment="1">
      <alignment horizontal="left" wrapText="1"/>
    </xf>
    <xf numFmtId="0" fontId="3" fillId="0" borderId="0" xfId="0" applyFont="1" applyFill="1" applyAlignment="1">
      <alignment wrapText="1"/>
    </xf>
    <xf numFmtId="0" fontId="0" fillId="0" borderId="0" xfId="0" applyAlignment="1">
      <alignment wrapText="1"/>
    </xf>
    <xf numFmtId="0" fontId="4" fillId="0" borderId="10" xfId="0" applyFont="1" applyFill="1" applyBorder="1" applyAlignment="1">
      <alignment horizontal="right"/>
    </xf>
    <xf numFmtId="0" fontId="4" fillId="0" borderId="20" xfId="0" applyFont="1" applyBorder="1" applyAlignment="1">
      <alignment horizontal="right"/>
    </xf>
    <xf numFmtId="0" fontId="4" fillId="0" borderId="22" xfId="0" applyFont="1" applyBorder="1" applyAlignment="1">
      <alignment horizontal="center" wrapText="1"/>
    </xf>
    <xf numFmtId="0" fontId="4" fillId="0" borderId="24"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0" fillId="0" borderId="0" xfId="0" applyFill="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11" xfId="0" applyBorder="1" applyAlignment="1">
      <alignment horizontal="center"/>
    </xf>
    <xf numFmtId="0" fontId="4" fillId="0" borderId="11" xfId="0" applyFont="1" applyBorder="1" applyAlignment="1">
      <alignment horizontal="center"/>
    </xf>
    <xf numFmtId="0" fontId="4" fillId="0" borderId="11" xfId="0" applyFont="1" applyBorder="1" applyAlignment="1">
      <alignment horizontal="center" wrapText="1"/>
    </xf>
    <xf numFmtId="0" fontId="4" fillId="0" borderId="10" xfId="0" applyFont="1" applyBorder="1" applyAlignment="1">
      <alignment horizontal="center"/>
    </xf>
    <xf numFmtId="0" fontId="4" fillId="0" borderId="34" xfId="0" applyFont="1" applyBorder="1" applyAlignment="1">
      <alignment horizontal="center"/>
    </xf>
    <xf numFmtId="0" fontId="4" fillId="0" borderId="20"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5" xfId="0" applyFont="1" applyBorder="1" applyAlignment="1">
      <alignment horizontal="center" wrapText="1"/>
    </xf>
    <xf numFmtId="0" fontId="35" fillId="0" borderId="0" xfId="0" applyFont="1" applyAlignment="1">
      <alignment wrapText="1"/>
    </xf>
    <xf numFmtId="0" fontId="4" fillId="0" borderId="10" xfId="0" applyFont="1" applyBorder="1" applyAlignment="1">
      <alignment horizontal="center" vertical="top"/>
    </xf>
    <xf numFmtId="0" fontId="4" fillId="0" borderId="34" xfId="0" applyFont="1" applyBorder="1" applyAlignment="1">
      <alignment horizontal="center" vertical="top"/>
    </xf>
    <xf numFmtId="0" fontId="4" fillId="0" borderId="20" xfId="0" applyFont="1" applyBorder="1" applyAlignment="1">
      <alignment horizontal="center" vertical="top"/>
    </xf>
    <xf numFmtId="0" fontId="0" fillId="0" borderId="0" xfId="0" applyFont="1" applyAlignment="1">
      <alignment vertical="top" wrapText="1"/>
    </xf>
    <xf numFmtId="0" fontId="0" fillId="0" borderId="0" xfId="0" applyAlignment="1">
      <alignment/>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2" fontId="4" fillId="0" borderId="11" xfId="0" applyNumberFormat="1" applyFont="1" applyFill="1" applyBorder="1" applyAlignment="1">
      <alignment horizontal="center"/>
    </xf>
    <xf numFmtId="0" fontId="0" fillId="0" borderId="11" xfId="0" applyFont="1" applyBorder="1" applyAlignment="1">
      <alignment horizontal="left" vertical="top" wrapText="1"/>
    </xf>
    <xf numFmtId="0" fontId="0" fillId="0" borderId="11" xfId="0" applyBorder="1" applyAlignment="1">
      <alignment vertical="center" wrapText="1"/>
    </xf>
    <xf numFmtId="0" fontId="0" fillId="36" borderId="0" xfId="0" applyFill="1" applyAlignment="1">
      <alignment horizontal="center"/>
    </xf>
    <xf numFmtId="0" fontId="0" fillId="0" borderId="11" xfId="0" applyBorder="1" applyAlignment="1">
      <alignment horizontal="center" vertical="center"/>
    </xf>
    <xf numFmtId="0" fontId="0" fillId="34" borderId="10" xfId="0" applyFill="1" applyBorder="1" applyAlignment="1">
      <alignment horizontal="left" vertical="center" wrapText="1"/>
    </xf>
    <xf numFmtId="0" fontId="0" fillId="34" borderId="34" xfId="0" applyFill="1" applyBorder="1" applyAlignment="1">
      <alignment horizontal="left" vertical="center" wrapText="1"/>
    </xf>
    <xf numFmtId="0" fontId="0" fillId="34" borderId="20"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6" borderId="0" xfId="0" applyFill="1" applyAlignment="1">
      <alignment horizontal="center" wrapText="1"/>
    </xf>
    <xf numFmtId="0" fontId="4" fillId="0" borderId="10" xfId="0" applyFont="1" applyBorder="1" applyAlignment="1">
      <alignment horizontal="left" wrapText="1"/>
    </xf>
    <xf numFmtId="0" fontId="4" fillId="0" borderId="34" xfId="0" applyFont="1" applyBorder="1" applyAlignment="1">
      <alignment horizontal="left" wrapText="1"/>
    </xf>
    <xf numFmtId="0" fontId="4" fillId="0" borderId="20" xfId="0" applyFont="1" applyBorder="1" applyAlignment="1">
      <alignment horizontal="lef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36" borderId="21" xfId="0" applyFill="1" applyBorder="1" applyAlignment="1">
      <alignment horizontal="center" wrapText="1"/>
    </xf>
    <xf numFmtId="0" fontId="0" fillId="0" borderId="11" xfId="0" applyFont="1" applyFill="1" applyBorder="1" applyAlignment="1">
      <alignment vertical="center" wrapText="1"/>
    </xf>
    <xf numFmtId="0" fontId="0" fillId="36" borderId="0" xfId="0" applyFont="1" applyFill="1" applyAlignment="1">
      <alignment horizontal="center"/>
    </xf>
    <xf numFmtId="0" fontId="0" fillId="0" borderId="11" xfId="0" applyFont="1" applyFill="1" applyBorder="1" applyAlignment="1">
      <alignment horizontal="center" vertical="center"/>
    </xf>
    <xf numFmtId="0" fontId="0" fillId="34" borderId="10"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0" borderId="11" xfId="0" applyBorder="1" applyAlignment="1">
      <alignment horizontal="center" vertical="center" wrapText="1"/>
    </xf>
    <xf numFmtId="0" fontId="0" fillId="36" borderId="21" xfId="0" applyFill="1" applyBorder="1" applyAlignment="1">
      <alignment horizontal="center"/>
    </xf>
    <xf numFmtId="0" fontId="0" fillId="0" borderId="11" xfId="0" applyFill="1" applyBorder="1" applyAlignment="1">
      <alignment horizontal="center" vertical="center"/>
    </xf>
    <xf numFmtId="0" fontId="0" fillId="0" borderId="11"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2" fontId="4" fillId="0" borderId="25" xfId="0" applyNumberFormat="1" applyFont="1" applyFill="1" applyBorder="1" applyAlignment="1">
      <alignment horizontal="center" wrapText="1"/>
    </xf>
    <xf numFmtId="2" fontId="4" fillId="0" borderId="26" xfId="0" applyNumberFormat="1" applyFont="1" applyFill="1" applyBorder="1" applyAlignment="1">
      <alignment horizontal="center" wrapText="1"/>
    </xf>
    <xf numFmtId="2" fontId="4" fillId="0" borderId="14" xfId="0" applyNumberFormat="1" applyFont="1" applyFill="1" applyBorder="1" applyAlignment="1">
      <alignment horizontal="center"/>
    </xf>
    <xf numFmtId="2" fontId="4" fillId="0" borderId="16" xfId="0" applyNumberFormat="1" applyFont="1" applyFill="1" applyBorder="1" applyAlignment="1">
      <alignment horizontal="center"/>
    </xf>
    <xf numFmtId="0" fontId="0" fillId="0" borderId="13" xfId="0" applyFont="1" applyBorder="1" applyAlignment="1">
      <alignment horizontal="left" wrapText="1"/>
    </xf>
    <xf numFmtId="0" fontId="0" fillId="0" borderId="26" xfId="0" applyFont="1" applyBorder="1" applyAlignment="1">
      <alignment horizontal="left" wrapText="1"/>
    </xf>
    <xf numFmtId="0" fontId="0" fillId="0" borderId="11" xfId="0" applyFont="1" applyBorder="1" applyAlignment="1">
      <alignment horizontal="left"/>
    </xf>
    <xf numFmtId="2" fontId="0" fillId="0" borderId="11" xfId="0" applyNumberFormat="1"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0" fontId="72" fillId="0" borderId="12" xfId="0" applyFont="1" applyFill="1" applyBorder="1" applyAlignment="1">
      <alignment vertical="top" wrapText="1"/>
    </xf>
    <xf numFmtId="0" fontId="72" fillId="0" borderId="25" xfId="0" applyFont="1" applyBorder="1" applyAlignment="1">
      <alignment vertical="top" wrapText="1"/>
    </xf>
    <xf numFmtId="0" fontId="30" fillId="0" borderId="13" xfId="0" applyFont="1" applyBorder="1" applyAlignment="1">
      <alignment horizontal="center" wrapText="1"/>
    </xf>
    <xf numFmtId="0" fontId="30" fillId="0" borderId="2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auto="1"/>
      </font>
      <fill>
        <patternFill>
          <bgColor indexed="42"/>
        </patternFill>
      </fill>
    </dxf>
    <dxf>
      <fill>
        <patternFill>
          <bgColor indexed="22"/>
        </patternFill>
      </fill>
    </dxf>
    <dxf>
      <font>
        <color indexed="10"/>
      </font>
      <fill>
        <patternFill patternType="none">
          <bgColor indexed="65"/>
        </patternFill>
      </fill>
    </dxf>
    <dxf>
      <fill>
        <patternFill>
          <bgColor indexed="11"/>
        </patternFill>
      </fill>
    </dxf>
    <dxf>
      <font>
        <color auto="1"/>
      </font>
      <fill>
        <patternFill>
          <bgColor indexed="42"/>
        </patternFill>
      </fill>
    </dxf>
    <dxf>
      <fill>
        <patternFill>
          <bgColor indexed="22"/>
        </patternFill>
      </fill>
    </dxf>
    <dxf>
      <font>
        <color indexed="10"/>
      </font>
      <fill>
        <patternFill patternType="none">
          <bgColor indexed="65"/>
        </patternFill>
      </fill>
    </dxf>
    <dxf>
      <fill>
        <patternFill>
          <bgColor indexed="11"/>
        </patternFill>
      </fill>
    </dxf>
    <dxf>
      <font>
        <strike/>
      </font>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zoomScalePageLayoutView="0" workbookViewId="0" topLeftCell="A7">
      <selection activeCell="N16" sqref="N16"/>
    </sheetView>
  </sheetViews>
  <sheetFormatPr defaultColWidth="9.140625" defaultRowHeight="12.75"/>
  <cols>
    <col min="1" max="1" width="7.140625" style="213" customWidth="1"/>
    <col min="2" max="2" width="2.8515625" style="213" customWidth="1"/>
    <col min="3" max="3" width="3.140625" style="213" customWidth="1"/>
    <col min="4" max="7" width="18.7109375" style="213" customWidth="1"/>
    <col min="8" max="8" width="2.8515625" style="213" customWidth="1"/>
    <col min="9" max="9" width="7.7109375" style="213" customWidth="1"/>
    <col min="10" max="16384" width="9.140625" style="213" customWidth="1"/>
  </cols>
  <sheetData>
    <row r="1" spans="4:9" ht="12.75">
      <c r="D1" s="289"/>
      <c r="E1" s="218"/>
      <c r="F1" s="218"/>
      <c r="G1" s="289" t="s">
        <v>403</v>
      </c>
      <c r="H1" s="439"/>
      <c r="I1" s="439"/>
    </row>
    <row r="2" spans="4:9" ht="12.75">
      <c r="D2" s="289"/>
      <c r="E2" s="218"/>
      <c r="F2" s="218"/>
      <c r="G2" s="289" t="s">
        <v>469</v>
      </c>
      <c r="H2" s="439"/>
      <c r="I2" s="439"/>
    </row>
    <row r="3" spans="4:6" ht="12.75">
      <c r="D3" s="289"/>
      <c r="E3" s="218"/>
      <c r="F3" s="218"/>
    </row>
    <row r="4" spans="1:10" ht="18">
      <c r="A4" s="436" t="s">
        <v>119</v>
      </c>
      <c r="B4" s="436"/>
      <c r="C4" s="436"/>
      <c r="D4" s="436"/>
      <c r="E4" s="436"/>
      <c r="F4" s="436"/>
      <c r="G4" s="436"/>
      <c r="H4" s="436"/>
      <c r="I4" s="436"/>
      <c r="J4" s="212"/>
    </row>
    <row r="5" spans="1:10" ht="18">
      <c r="A5" s="436" t="s">
        <v>375</v>
      </c>
      <c r="B5" s="436"/>
      <c r="C5" s="436"/>
      <c r="D5" s="436"/>
      <c r="E5" s="436"/>
      <c r="F5" s="436"/>
      <c r="G5" s="436"/>
      <c r="H5" s="436"/>
      <c r="I5" s="436"/>
      <c r="J5" s="212"/>
    </row>
    <row r="6" spans="1:9" ht="12.75">
      <c r="A6" s="273"/>
      <c r="B6" s="273"/>
      <c r="C6" s="273"/>
      <c r="D6" s="273"/>
      <c r="E6" s="273"/>
      <c r="F6" s="273"/>
      <c r="G6" s="273"/>
      <c r="H6" s="273"/>
      <c r="I6" s="273"/>
    </row>
    <row r="7" spans="1:10" ht="18">
      <c r="A7" s="436" t="s">
        <v>365</v>
      </c>
      <c r="B7" s="436"/>
      <c r="C7" s="436"/>
      <c r="D7" s="436"/>
      <c r="E7" s="436"/>
      <c r="F7" s="436"/>
      <c r="G7" s="436"/>
      <c r="H7" s="436"/>
      <c r="I7" s="436"/>
      <c r="J7" s="212"/>
    </row>
    <row r="8" spans="1:9" ht="12.75">
      <c r="A8" s="437" t="s">
        <v>602</v>
      </c>
      <c r="B8" s="437"/>
      <c r="C8" s="437"/>
      <c r="D8" s="437"/>
      <c r="E8" s="437"/>
      <c r="F8" s="437"/>
      <c r="G8" s="437"/>
      <c r="H8" s="437"/>
      <c r="I8" s="437"/>
    </row>
    <row r="9" ht="12.75"/>
    <row r="10" spans="2:8" ht="12.75">
      <c r="B10" s="214"/>
      <c r="C10" s="215"/>
      <c r="D10" s="215"/>
      <c r="E10" s="215"/>
      <c r="F10" s="215"/>
      <c r="G10" s="215"/>
      <c r="H10" s="216"/>
    </row>
    <row r="11" spans="2:8" ht="12.75">
      <c r="B11" s="217"/>
      <c r="C11" s="218" t="s">
        <v>404</v>
      </c>
      <c r="D11" s="218"/>
      <c r="E11" s="218"/>
      <c r="F11" s="218"/>
      <c r="G11" s="218"/>
      <c r="H11" s="219"/>
    </row>
    <row r="12" spans="2:8" ht="12.75">
      <c r="B12" s="217"/>
      <c r="C12" s="218"/>
      <c r="D12" s="440"/>
      <c r="E12" s="440"/>
      <c r="F12" s="422"/>
      <c r="G12" s="218"/>
      <c r="H12" s="219"/>
    </row>
    <row r="13" spans="2:8" ht="12.75">
      <c r="B13" s="217"/>
      <c r="C13" s="218"/>
      <c r="D13" s="218"/>
      <c r="E13" s="218"/>
      <c r="F13" s="218"/>
      <c r="G13" s="218"/>
      <c r="H13" s="219"/>
    </row>
    <row r="14" spans="2:8" ht="12.75">
      <c r="B14" s="217"/>
      <c r="C14" s="218" t="s">
        <v>405</v>
      </c>
      <c r="D14" s="218"/>
      <c r="E14" s="218"/>
      <c r="F14" s="218"/>
      <c r="G14" s="218"/>
      <c r="H14" s="219"/>
    </row>
    <row r="15" spans="2:8" ht="12.75">
      <c r="B15" s="217"/>
      <c r="C15" s="218"/>
      <c r="D15" s="434"/>
      <c r="E15" s="434"/>
      <c r="F15" s="434"/>
      <c r="G15" s="434"/>
      <c r="H15" s="219"/>
    </row>
    <row r="16" spans="2:8" ht="12.75">
      <c r="B16" s="217"/>
      <c r="C16" s="218"/>
      <c r="D16" s="218"/>
      <c r="E16" s="218"/>
      <c r="F16" s="218"/>
      <c r="G16" s="218"/>
      <c r="H16" s="219"/>
    </row>
    <row r="17" spans="2:8" ht="12.75">
      <c r="B17" s="217"/>
      <c r="C17" s="218" t="s">
        <v>406</v>
      </c>
      <c r="D17" s="218"/>
      <c r="E17" s="218"/>
      <c r="F17" s="218"/>
      <c r="G17" s="218"/>
      <c r="H17" s="219"/>
    </row>
    <row r="18" spans="2:8" ht="12.75">
      <c r="B18" s="217"/>
      <c r="C18" s="218"/>
      <c r="D18" s="434"/>
      <c r="E18" s="434"/>
      <c r="F18" s="434"/>
      <c r="G18" s="434"/>
      <c r="H18" s="219"/>
    </row>
    <row r="19" spans="2:8" ht="12.75">
      <c r="B19" s="217"/>
      <c r="C19" s="218"/>
      <c r="D19" s="434"/>
      <c r="E19" s="434"/>
      <c r="F19" s="434"/>
      <c r="G19" s="434"/>
      <c r="H19" s="219"/>
    </row>
    <row r="20" spans="2:8" ht="12.75">
      <c r="B20" s="217"/>
      <c r="C20" s="218"/>
      <c r="D20" s="218"/>
      <c r="E20" s="218"/>
      <c r="F20" s="218"/>
      <c r="G20" s="218"/>
      <c r="H20" s="219"/>
    </row>
    <row r="21" spans="2:8" ht="12.75">
      <c r="B21" s="217"/>
      <c r="C21" s="438" t="s">
        <v>121</v>
      </c>
      <c r="D21" s="438"/>
      <c r="E21" s="438"/>
      <c r="F21" s="434"/>
      <c r="G21" s="434"/>
      <c r="H21" s="219"/>
    </row>
    <row r="22" spans="2:8" ht="12.75">
      <c r="B22" s="217"/>
      <c r="C22" s="438" t="s">
        <v>122</v>
      </c>
      <c r="D22" s="438"/>
      <c r="E22" s="438"/>
      <c r="F22" s="434"/>
      <c r="G22" s="434"/>
      <c r="H22" s="219"/>
    </row>
    <row r="23" spans="2:8" ht="12.75">
      <c r="B23" s="217"/>
      <c r="C23" s="218"/>
      <c r="D23" s="218"/>
      <c r="E23" s="218"/>
      <c r="F23" s="218"/>
      <c r="G23" s="218"/>
      <c r="H23" s="219"/>
    </row>
    <row r="24" spans="2:8" ht="12.75">
      <c r="B24" s="217"/>
      <c r="C24" s="218" t="s">
        <v>407</v>
      </c>
      <c r="D24" s="218"/>
      <c r="E24" s="218"/>
      <c r="F24" s="218"/>
      <c r="G24" s="218"/>
      <c r="H24" s="219"/>
    </row>
    <row r="25" spans="2:8" ht="12.75">
      <c r="B25" s="217"/>
      <c r="C25" s="218"/>
      <c r="D25" s="434"/>
      <c r="E25" s="434"/>
      <c r="F25" s="434"/>
      <c r="G25" s="434"/>
      <c r="H25" s="219"/>
    </row>
    <row r="26" spans="2:8" ht="12.75">
      <c r="B26" s="217"/>
      <c r="C26" s="218"/>
      <c r="D26" s="434"/>
      <c r="E26" s="434"/>
      <c r="F26" s="434"/>
      <c r="G26" s="434"/>
      <c r="H26" s="219"/>
    </row>
    <row r="27" spans="2:8" ht="12.75">
      <c r="B27" s="217"/>
      <c r="C27" s="218"/>
      <c r="D27" s="434"/>
      <c r="E27" s="434"/>
      <c r="F27" s="434"/>
      <c r="G27" s="434"/>
      <c r="H27" s="219"/>
    </row>
    <row r="28" spans="2:8" ht="12.75">
      <c r="B28" s="217"/>
      <c r="C28" s="218"/>
      <c r="D28" s="434"/>
      <c r="E28" s="434"/>
      <c r="F28" s="434"/>
      <c r="G28" s="434"/>
      <c r="H28" s="219"/>
    </row>
    <row r="29" spans="2:8" ht="12.75">
      <c r="B29" s="217"/>
      <c r="C29" s="218"/>
      <c r="D29" s="218"/>
      <c r="E29" s="218"/>
      <c r="F29" s="218"/>
      <c r="G29" s="218"/>
      <c r="H29" s="219"/>
    </row>
    <row r="30" spans="2:8" ht="12.75">
      <c r="B30" s="217"/>
      <c r="C30" s="218" t="s">
        <v>408</v>
      </c>
      <c r="D30" s="218"/>
      <c r="E30" s="218"/>
      <c r="F30" s="218"/>
      <c r="G30" s="218"/>
      <c r="H30" s="219"/>
    </row>
    <row r="31" spans="2:8" ht="12.75">
      <c r="B31" s="217"/>
      <c r="C31" s="218"/>
      <c r="D31" s="434"/>
      <c r="E31" s="434"/>
      <c r="F31" s="434"/>
      <c r="G31" s="434"/>
      <c r="H31" s="219"/>
    </row>
    <row r="32" spans="2:8" ht="12.75">
      <c r="B32" s="217"/>
      <c r="C32" s="218"/>
      <c r="D32" s="434"/>
      <c r="E32" s="434"/>
      <c r="F32" s="434"/>
      <c r="G32" s="434"/>
      <c r="H32" s="219"/>
    </row>
    <row r="33" spans="2:8" ht="12.75">
      <c r="B33" s="217"/>
      <c r="C33" s="218"/>
      <c r="D33" s="385"/>
      <c r="E33" s="385"/>
      <c r="F33" s="385"/>
      <c r="G33" s="385"/>
      <c r="H33" s="219"/>
    </row>
    <row r="34" spans="2:8" ht="12.75">
      <c r="B34" s="217"/>
      <c r="C34" s="218" t="s">
        <v>488</v>
      </c>
      <c r="D34" s="218"/>
      <c r="E34" s="218"/>
      <c r="F34" s="218"/>
      <c r="G34" s="218"/>
      <c r="H34" s="219"/>
    </row>
    <row r="35" spans="2:8" ht="12.75">
      <c r="B35" s="217"/>
      <c r="C35" s="218"/>
      <c r="D35" s="434"/>
      <c r="E35" s="434"/>
      <c r="F35" s="434"/>
      <c r="G35" s="434"/>
      <c r="H35" s="219"/>
    </row>
    <row r="36" spans="2:8" ht="12.75">
      <c r="B36" s="217"/>
      <c r="C36" s="218"/>
      <c r="D36" s="218"/>
      <c r="E36" s="218"/>
      <c r="F36" s="218"/>
      <c r="G36" s="218"/>
      <c r="H36" s="219"/>
    </row>
    <row r="37" spans="2:8" ht="12.75">
      <c r="B37" s="217"/>
      <c r="C37" s="218" t="s">
        <v>574</v>
      </c>
      <c r="D37" s="218"/>
      <c r="E37" s="218"/>
      <c r="F37" s="218"/>
      <c r="G37" s="218"/>
      <c r="H37" s="219"/>
    </row>
    <row r="38" spans="2:8" ht="12.75">
      <c r="B38" s="217"/>
      <c r="C38" s="218"/>
      <c r="D38" s="421"/>
      <c r="E38" s="423" t="s">
        <v>553</v>
      </c>
      <c r="F38" s="425">
        <f>IF(D38="","",D38/43560)</f>
      </c>
      <c r="G38" s="423" t="s">
        <v>554</v>
      </c>
      <c r="H38" s="219"/>
    </row>
    <row r="39" spans="2:8" ht="12.75">
      <c r="B39" s="217"/>
      <c r="C39" s="218"/>
      <c r="D39" s="218"/>
      <c r="E39" s="385"/>
      <c r="F39" s="218"/>
      <c r="G39" s="218"/>
      <c r="H39" s="219"/>
    </row>
    <row r="40" spans="2:8" ht="12.75">
      <c r="B40" s="217"/>
      <c r="C40" s="218" t="s">
        <v>575</v>
      </c>
      <c r="D40" s="218"/>
      <c r="E40" s="385"/>
      <c r="F40" s="218"/>
      <c r="G40" s="218"/>
      <c r="H40" s="219"/>
    </row>
    <row r="41" spans="2:8" ht="12.75">
      <c r="B41" s="217"/>
      <c r="C41" s="218"/>
      <c r="D41" s="426"/>
      <c r="E41" s="424" t="s">
        <v>553</v>
      </c>
      <c r="F41" s="425">
        <f>IF(D41="","",D41/43560)</f>
      </c>
      <c r="G41" s="424" t="s">
        <v>554</v>
      </c>
      <c r="H41" s="219"/>
    </row>
    <row r="42" spans="2:8" ht="12.75">
      <c r="B42" s="217"/>
      <c r="C42" s="218"/>
      <c r="D42" s="290"/>
      <c r="E42" s="290"/>
      <c r="F42" s="290"/>
      <c r="G42" s="218"/>
      <c r="H42" s="219"/>
    </row>
    <row r="43" spans="2:8" ht="12.75">
      <c r="B43" s="217"/>
      <c r="C43" s="218" t="s">
        <v>576</v>
      </c>
      <c r="D43" s="290"/>
      <c r="E43" s="290"/>
      <c r="F43" s="290"/>
      <c r="G43" s="218"/>
      <c r="H43" s="219"/>
    </row>
    <row r="44" spans="2:8" ht="12.75">
      <c r="B44" s="217"/>
      <c r="C44" s="218"/>
      <c r="D44" s="290"/>
      <c r="E44" s="290"/>
      <c r="F44" s="290"/>
      <c r="G44" s="218"/>
      <c r="H44" s="219"/>
    </row>
    <row r="45" spans="2:8" ht="24" customHeight="1">
      <c r="B45" s="217"/>
      <c r="C45" s="218"/>
      <c r="D45" s="430" t="s">
        <v>500</v>
      </c>
      <c r="E45" s="431"/>
      <c r="F45" s="431"/>
      <c r="G45" s="431"/>
      <c r="H45" s="219"/>
    </row>
    <row r="46" spans="2:8" ht="12.75">
      <c r="B46" s="217"/>
      <c r="C46" s="218"/>
      <c r="D46" s="290"/>
      <c r="E46" s="290"/>
      <c r="F46" s="290"/>
      <c r="G46" s="218"/>
      <c r="H46" s="219"/>
    </row>
    <row r="47" spans="2:8" ht="12.75">
      <c r="B47" s="217"/>
      <c r="C47" s="218"/>
      <c r="D47" s="392" t="s">
        <v>501</v>
      </c>
      <c r="E47" s="393" t="s">
        <v>502</v>
      </c>
      <c r="F47" s="393"/>
      <c r="G47" s="218"/>
      <c r="H47" s="219"/>
    </row>
    <row r="48" spans="2:8" ht="24" customHeight="1">
      <c r="B48" s="217"/>
      <c r="C48" s="218"/>
      <c r="D48" s="432">
        <f>IF(D47="Yes","Complete Tab 3.0 to demonstrate compliance with the Sustainable Development Policy.","")</f>
      </c>
      <c r="E48" s="433"/>
      <c r="F48" s="433"/>
      <c r="G48" s="433"/>
      <c r="H48" s="219"/>
    </row>
    <row r="49" spans="2:8" ht="12.75">
      <c r="B49" s="220"/>
      <c r="C49" s="221"/>
      <c r="D49" s="221"/>
      <c r="E49" s="221"/>
      <c r="F49" s="221"/>
      <c r="G49" s="221"/>
      <c r="H49" s="222"/>
    </row>
    <row r="50" spans="2:8" ht="12.75">
      <c r="B50" s="218"/>
      <c r="C50" s="218"/>
      <c r="D50" s="218"/>
      <c r="E50" s="218"/>
      <c r="F50" s="218"/>
      <c r="G50" s="218"/>
      <c r="H50" s="218"/>
    </row>
    <row r="51" spans="3:4" ht="12.75">
      <c r="C51" s="288" t="s">
        <v>366</v>
      </c>
      <c r="D51" s="272"/>
    </row>
    <row r="52" spans="3:4" ht="12.75">
      <c r="C52" s="288" t="s">
        <v>367</v>
      </c>
      <c r="D52" s="272"/>
    </row>
    <row r="53" spans="3:4" ht="12.75">
      <c r="C53" s="288" t="s">
        <v>368</v>
      </c>
      <c r="D53" s="272"/>
    </row>
    <row r="54" ht="12.75"/>
    <row r="55" spans="3:6" ht="12.75">
      <c r="C55" s="435" t="s">
        <v>370</v>
      </c>
      <c r="D55" s="435"/>
      <c r="E55" s="435"/>
      <c r="F55" s="420"/>
    </row>
    <row r="56" spans="3:4" ht="12.75">
      <c r="C56" s="266"/>
      <c r="D56" s="265" t="s">
        <v>372</v>
      </c>
    </row>
    <row r="57" spans="3:4" ht="12.75">
      <c r="C57" s="267"/>
      <c r="D57" s="265" t="s">
        <v>373</v>
      </c>
    </row>
    <row r="58" spans="3:4" ht="12.75">
      <c r="C58" s="271"/>
      <c r="D58" s="265" t="s">
        <v>371</v>
      </c>
    </row>
    <row r="59" ht="12.75"/>
    <row r="60" ht="12.75"/>
    <row r="61" ht="12.75"/>
  </sheetData>
  <sheetProtection/>
  <mergeCells count="24">
    <mergeCell ref="H1:I1"/>
    <mergeCell ref="H2:I2"/>
    <mergeCell ref="D12:E12"/>
    <mergeCell ref="D18:G18"/>
    <mergeCell ref="A7:I7"/>
    <mergeCell ref="D19:G19"/>
    <mergeCell ref="D32:G32"/>
    <mergeCell ref="D25:G25"/>
    <mergeCell ref="D26:G26"/>
    <mergeCell ref="D27:G27"/>
    <mergeCell ref="D28:G28"/>
    <mergeCell ref="F21:G21"/>
    <mergeCell ref="F22:G22"/>
    <mergeCell ref="C22:E22"/>
    <mergeCell ref="D45:G45"/>
    <mergeCell ref="D48:G48"/>
    <mergeCell ref="D35:G35"/>
    <mergeCell ref="C55:E55"/>
    <mergeCell ref="A5:I5"/>
    <mergeCell ref="A4:I4"/>
    <mergeCell ref="D15:G15"/>
    <mergeCell ref="A8:I8"/>
    <mergeCell ref="C21:E21"/>
    <mergeCell ref="D31:G31"/>
  </mergeCells>
  <printOptions horizontalCentered="1"/>
  <pageMargins left="0.75" right="0.75" top="1" bottom="1" header="0.5" footer="0.5"/>
  <pageSetup fitToHeight="1" fitToWidth="1" horizontalDpi="600" verticalDpi="600" orientation="portrait" scale="88" r:id="rId3"/>
  <headerFooter alignWithMargins="0">
    <oddFooter>&amp;L&amp;8City of Chicago
Dept. of Water Management&amp;C&amp;8Permit Application&amp;R&amp;8&amp;A
Page 1</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E11" sqref="E11"/>
    </sheetView>
  </sheetViews>
  <sheetFormatPr defaultColWidth="9.140625" defaultRowHeight="12.75"/>
  <cols>
    <col min="1" max="1" width="15.00390625" style="0" customWidth="1"/>
    <col min="2" max="2" width="6.140625" style="172" customWidth="1"/>
    <col min="3" max="3" width="39.28125" style="0" customWidth="1"/>
    <col min="4" max="4" width="15.0039062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7" ht="12.75"/>
    <row r="8" ht="15.75">
      <c r="B8" s="161" t="s">
        <v>285</v>
      </c>
    </row>
    <row r="9" ht="12.75"/>
    <row r="10" spans="2:6" ht="12.75">
      <c r="B10" s="530" t="s">
        <v>139</v>
      </c>
      <c r="C10" s="530"/>
      <c r="D10" s="530"/>
      <c r="E10" s="530"/>
      <c r="F10" s="530"/>
    </row>
    <row r="11" spans="2:6" ht="15.75">
      <c r="B11" s="164">
        <v>1</v>
      </c>
      <c r="C11" s="165" t="s">
        <v>409</v>
      </c>
      <c r="D11" s="110" t="s">
        <v>337</v>
      </c>
      <c r="E11" s="149"/>
      <c r="F11" s="166" t="s">
        <v>141</v>
      </c>
    </row>
    <row r="12" spans="2:6" ht="38.25">
      <c r="B12" s="167">
        <v>2</v>
      </c>
      <c r="C12" s="168" t="s">
        <v>142</v>
      </c>
      <c r="D12" s="110" t="s">
        <v>46</v>
      </c>
      <c r="E12" s="169"/>
      <c r="F12" s="103" t="s">
        <v>143</v>
      </c>
    </row>
    <row r="13" spans="2:6" ht="25.5">
      <c r="B13" s="167">
        <v>3</v>
      </c>
      <c r="C13" s="170" t="str">
        <f>IF('1.0 RATE CONTROL'!E45="Yes","Volume of upstream runoff from a 1/2-inch storm = C * At * (0.5) * 1/12","Volume of upstream runoff from a 1-inch storm = C * At * 1/12")</f>
        <v>Volume of upstream runoff from a 1-inch storm = C * At * 1/12</v>
      </c>
      <c r="D13" s="110" t="s">
        <v>220</v>
      </c>
      <c r="E13" s="242">
        <f>IF('1.0 RATE CONTROL'!E45="Yes",E11*E12*(0.5)*(1/12),E11*E12*1/12)</f>
        <v>0</v>
      </c>
      <c r="F13" s="103" t="s">
        <v>54</v>
      </c>
    </row>
    <row r="14" spans="2:6" ht="38.25">
      <c r="B14" s="167">
        <v>4</v>
      </c>
      <c r="C14" s="170" t="s">
        <v>158</v>
      </c>
      <c r="D14" s="110" t="s">
        <v>232</v>
      </c>
      <c r="E14" s="171"/>
      <c r="F14" s="103" t="s">
        <v>159</v>
      </c>
    </row>
    <row r="15" spans="2:6" ht="31.5">
      <c r="B15" s="167">
        <v>5</v>
      </c>
      <c r="C15" s="170" t="s">
        <v>233</v>
      </c>
      <c r="D15" s="110" t="s">
        <v>160</v>
      </c>
      <c r="E15" s="255">
        <f>IF(E14="","",IF(E14&lt;5,"Tc &gt; 5",64/(E14^0.9+8)))</f>
      </c>
      <c r="F15" s="103" t="s">
        <v>148</v>
      </c>
    </row>
    <row r="16" spans="2:6" ht="15.75">
      <c r="B16" s="167">
        <v>6</v>
      </c>
      <c r="C16" s="170" t="s">
        <v>234</v>
      </c>
      <c r="D16" s="110" t="s">
        <v>235</v>
      </c>
      <c r="E16" s="256">
        <f>IF(E14="","",E15*0.75*E12*E11/43560)</f>
      </c>
      <c r="F16" s="103" t="s">
        <v>59</v>
      </c>
    </row>
    <row r="17" spans="2:6" ht="26.25" customHeight="1">
      <c r="B17" s="164">
        <v>7</v>
      </c>
      <c r="C17" s="170" t="s">
        <v>144</v>
      </c>
      <c r="D17" s="532"/>
      <c r="E17" s="533"/>
      <c r="F17" s="534"/>
    </row>
    <row r="18" spans="2:6" ht="12.75">
      <c r="B18" s="163"/>
      <c r="C18" s="163"/>
      <c r="E18" s="163"/>
      <c r="F18" s="163"/>
    </row>
    <row r="19" spans="2:6" ht="12.75">
      <c r="B19" s="530" t="s">
        <v>146</v>
      </c>
      <c r="C19" s="530"/>
      <c r="D19" s="530"/>
      <c r="E19" s="530"/>
      <c r="F19" s="530"/>
    </row>
    <row r="20" spans="2:6" ht="38.25">
      <c r="B20" s="164">
        <v>8</v>
      </c>
      <c r="C20" s="170" t="s">
        <v>596</v>
      </c>
      <c r="D20" s="110" t="s">
        <v>147</v>
      </c>
      <c r="E20" s="169"/>
      <c r="F20" s="166" t="s">
        <v>148</v>
      </c>
    </row>
    <row r="21" spans="2:6" ht="51">
      <c r="B21" s="167">
        <v>9</v>
      </c>
      <c r="C21" s="170" t="s">
        <v>499</v>
      </c>
      <c r="D21" s="109" t="s">
        <v>341</v>
      </c>
      <c r="E21" s="204"/>
      <c r="F21" s="105" t="s">
        <v>150</v>
      </c>
    </row>
    <row r="22" spans="2:6" ht="15.75">
      <c r="B22" s="167">
        <v>10</v>
      </c>
      <c r="C22" s="170" t="s">
        <v>339</v>
      </c>
      <c r="D22" s="109" t="s">
        <v>340</v>
      </c>
      <c r="E22" s="204"/>
      <c r="F22" s="105" t="s">
        <v>150</v>
      </c>
    </row>
    <row r="23" spans="2:6" ht="38.25">
      <c r="B23" s="167">
        <v>11</v>
      </c>
      <c r="C23" s="170" t="s">
        <v>149</v>
      </c>
      <c r="D23" s="109" t="s">
        <v>342</v>
      </c>
      <c r="E23" s="252">
        <f>E21-E22</f>
        <v>0</v>
      </c>
      <c r="F23" s="105" t="s">
        <v>150</v>
      </c>
    </row>
    <row r="24" spans="2:6" ht="12.75">
      <c r="B24" s="163"/>
      <c r="C24" s="172"/>
      <c r="E24" s="163"/>
      <c r="F24" s="163"/>
    </row>
    <row r="25" spans="2:6" ht="12.75">
      <c r="B25" s="530" t="s">
        <v>151</v>
      </c>
      <c r="C25" s="530"/>
      <c r="D25" s="530"/>
      <c r="E25" s="530"/>
      <c r="F25" s="530"/>
    </row>
    <row r="26" spans="2:6" ht="12.75">
      <c r="B26" s="538">
        <v>12</v>
      </c>
      <c r="C26" s="535" t="s">
        <v>297</v>
      </c>
      <c r="D26" s="110" t="s">
        <v>153</v>
      </c>
      <c r="E26" s="149"/>
      <c r="F26" s="166" t="s">
        <v>150</v>
      </c>
    </row>
    <row r="27" spans="2:6" ht="12.75">
      <c r="B27" s="539"/>
      <c r="C27" s="536"/>
      <c r="D27" s="110" t="s">
        <v>161</v>
      </c>
      <c r="E27" s="171"/>
      <c r="F27" s="166" t="s">
        <v>162</v>
      </c>
    </row>
    <row r="28" spans="2:6" ht="12.75">
      <c r="B28" s="539"/>
      <c r="C28" s="536"/>
      <c r="D28" s="110" t="s">
        <v>163</v>
      </c>
      <c r="E28" s="171"/>
      <c r="F28" s="166" t="s">
        <v>150</v>
      </c>
    </row>
    <row r="29" spans="2:6" ht="25.5">
      <c r="B29" s="539"/>
      <c r="C29" s="536"/>
      <c r="D29" s="109" t="s">
        <v>485</v>
      </c>
      <c r="E29" s="171"/>
      <c r="F29" s="166" t="s">
        <v>164</v>
      </c>
    </row>
    <row r="30" spans="2:6" ht="12.75">
      <c r="B30" s="540"/>
      <c r="C30" s="537"/>
      <c r="D30" s="110" t="s">
        <v>165</v>
      </c>
      <c r="E30" s="175"/>
      <c r="F30" s="166" t="s">
        <v>143</v>
      </c>
    </row>
    <row r="31" spans="2:6" ht="25.5">
      <c r="B31" s="173">
        <v>13</v>
      </c>
      <c r="C31" s="174" t="s">
        <v>166</v>
      </c>
      <c r="D31" s="109" t="s">
        <v>167</v>
      </c>
      <c r="E31" s="171"/>
      <c r="F31" s="166" t="s">
        <v>168</v>
      </c>
    </row>
    <row r="32" spans="2:6" ht="51">
      <c r="B32" s="164">
        <v>14</v>
      </c>
      <c r="C32" s="170" t="s">
        <v>169</v>
      </c>
      <c r="D32" s="110" t="s">
        <v>236</v>
      </c>
      <c r="E32" s="253" t="e">
        <f>1.49/E30*(E28*E31/12+E27*(E31/12)^2)*((E28*E31/12+E27*(E31/12)^2)/(E28+2*E31/12*SQRT(1+E27^2)))^0.67*(E29/100)^0.5</f>
        <v>#DIV/0!</v>
      </c>
      <c r="F32" s="166" t="s">
        <v>59</v>
      </c>
    </row>
    <row r="33" spans="2:6" ht="12.75">
      <c r="B33" s="164">
        <v>15</v>
      </c>
      <c r="C33" s="170" t="s">
        <v>170</v>
      </c>
      <c r="D33" s="110" t="s">
        <v>171</v>
      </c>
      <c r="E33" s="253" t="e">
        <f>E32/(E31/12*(E28+E27*E31/12))</f>
        <v>#DIV/0!</v>
      </c>
      <c r="F33" s="166" t="s">
        <v>172</v>
      </c>
    </row>
    <row r="34" spans="2:6" ht="15.75">
      <c r="B34" s="164">
        <v>16</v>
      </c>
      <c r="C34" s="170" t="s">
        <v>173</v>
      </c>
      <c r="D34" s="110" t="s">
        <v>237</v>
      </c>
      <c r="E34" s="169"/>
      <c r="F34" s="166" t="s">
        <v>174</v>
      </c>
    </row>
    <row r="35" spans="2:6" ht="31.5">
      <c r="B35" s="164">
        <v>17</v>
      </c>
      <c r="C35" s="170" t="s">
        <v>238</v>
      </c>
      <c r="D35" s="110" t="s">
        <v>239</v>
      </c>
      <c r="E35" s="253">
        <f>E28*E34+E27*E34^2</f>
        <v>0</v>
      </c>
      <c r="F35" s="166" t="s">
        <v>141</v>
      </c>
    </row>
    <row r="36" spans="2:6" ht="15.75">
      <c r="B36" s="164">
        <v>18</v>
      </c>
      <c r="C36" s="170" t="s">
        <v>240</v>
      </c>
      <c r="D36" s="110" t="s">
        <v>175</v>
      </c>
      <c r="E36" s="254" t="e">
        <f>E34/(E29/100)</f>
        <v>#DIV/0!</v>
      </c>
      <c r="F36" s="166" t="s">
        <v>176</v>
      </c>
    </row>
    <row r="37" spans="2:6" ht="25.5">
      <c r="B37" s="164">
        <v>19</v>
      </c>
      <c r="C37" s="170" t="s">
        <v>177</v>
      </c>
      <c r="D37" s="110" t="s">
        <v>241</v>
      </c>
      <c r="E37" s="242" t="e">
        <f>FLOOR(E26/E36,1)</f>
        <v>#DIV/0!</v>
      </c>
      <c r="F37" s="166" t="s">
        <v>178</v>
      </c>
    </row>
    <row r="38" spans="2:6" ht="31.5">
      <c r="B38" s="164">
        <v>20</v>
      </c>
      <c r="C38" s="170" t="s">
        <v>242</v>
      </c>
      <c r="D38" s="110" t="s">
        <v>243</v>
      </c>
      <c r="E38" s="242" t="e">
        <f>+E37*E35*E36/2</f>
        <v>#DIV/0!</v>
      </c>
      <c r="F38" s="166" t="s">
        <v>54</v>
      </c>
    </row>
    <row r="39" spans="1:9" ht="15.75">
      <c r="A39" s="183"/>
      <c r="B39" s="206">
        <v>21</v>
      </c>
      <c r="C39" s="176" t="s">
        <v>155</v>
      </c>
      <c r="D39" s="229" t="s">
        <v>244</v>
      </c>
      <c r="E39" s="171"/>
      <c r="F39" s="207" t="s">
        <v>150</v>
      </c>
      <c r="G39" s="183"/>
      <c r="H39" s="183"/>
      <c r="I39" s="183"/>
    </row>
    <row r="40" spans="1:9" ht="25.5">
      <c r="A40" s="183"/>
      <c r="B40" s="206">
        <v>22</v>
      </c>
      <c r="C40" s="176" t="s">
        <v>354</v>
      </c>
      <c r="D40" s="229" t="s">
        <v>245</v>
      </c>
      <c r="E40" s="169"/>
      <c r="F40" s="207" t="s">
        <v>143</v>
      </c>
      <c r="G40" s="183"/>
      <c r="H40" s="183"/>
      <c r="I40" s="183"/>
    </row>
    <row r="41" spans="2:6" ht="15.75">
      <c r="B41" s="164">
        <v>23</v>
      </c>
      <c r="C41" s="176" t="s">
        <v>336</v>
      </c>
      <c r="D41" s="110" t="s">
        <v>246</v>
      </c>
      <c r="E41" s="242">
        <f>E26*E28*E39*E40</f>
        <v>0</v>
      </c>
      <c r="F41" s="166" t="s">
        <v>54</v>
      </c>
    </row>
    <row r="42" spans="2:6" ht="51">
      <c r="B42" s="164">
        <v>24</v>
      </c>
      <c r="C42" s="170" t="s">
        <v>179</v>
      </c>
      <c r="D42" s="110" t="s">
        <v>247</v>
      </c>
      <c r="E42" s="171"/>
      <c r="F42" s="166" t="s">
        <v>150</v>
      </c>
    </row>
    <row r="43" spans="2:6" ht="15.75">
      <c r="B43" s="164">
        <v>25</v>
      </c>
      <c r="C43" s="170" t="s">
        <v>180</v>
      </c>
      <c r="D43" s="110" t="s">
        <v>248</v>
      </c>
      <c r="E43" s="171"/>
      <c r="F43" s="166" t="s">
        <v>150</v>
      </c>
    </row>
    <row r="44" spans="2:6" ht="25.5">
      <c r="B44" s="164">
        <v>26</v>
      </c>
      <c r="C44" s="170" t="s">
        <v>353</v>
      </c>
      <c r="D44" s="110" t="s">
        <v>249</v>
      </c>
      <c r="E44" s="169"/>
      <c r="F44" s="166" t="s">
        <v>143</v>
      </c>
    </row>
    <row r="45" spans="2:6" ht="28.5">
      <c r="B45" s="164">
        <v>27</v>
      </c>
      <c r="C45" s="170" t="s">
        <v>250</v>
      </c>
      <c r="D45" s="110" t="s">
        <v>251</v>
      </c>
      <c r="E45" s="242">
        <f>+E26*E43*E42*E44</f>
        <v>0</v>
      </c>
      <c r="F45" s="166" t="s">
        <v>54</v>
      </c>
    </row>
    <row r="46" spans="2:6" ht="12.75">
      <c r="B46" s="163"/>
      <c r="C46" s="172"/>
      <c r="E46" s="163"/>
      <c r="F46" s="163"/>
    </row>
    <row r="47" spans="2:6" ht="12.75">
      <c r="B47" s="530" t="s">
        <v>157</v>
      </c>
      <c r="C47" s="530"/>
      <c r="D47" s="530"/>
      <c r="E47" s="530"/>
      <c r="F47" s="530"/>
    </row>
    <row r="48" spans="2:6" ht="15.75">
      <c r="B48" s="164">
        <v>28</v>
      </c>
      <c r="C48" s="170" t="s">
        <v>310</v>
      </c>
      <c r="D48" s="110" t="s">
        <v>220</v>
      </c>
      <c r="E48" s="242">
        <f>E13</f>
        <v>0</v>
      </c>
      <c r="F48" s="166" t="s">
        <v>54</v>
      </c>
    </row>
    <row r="49" spans="2:6" ht="15.75">
      <c r="B49" s="164">
        <v>29</v>
      </c>
      <c r="C49" s="170" t="s">
        <v>346</v>
      </c>
      <c r="D49" s="110" t="s">
        <v>243</v>
      </c>
      <c r="E49" s="242" t="e">
        <f>E38</f>
        <v>#DIV/0!</v>
      </c>
      <c r="F49" s="166" t="s">
        <v>54</v>
      </c>
    </row>
    <row r="50" spans="2:6" ht="15.75">
      <c r="B50" s="164">
        <v>30</v>
      </c>
      <c r="C50" s="170" t="s">
        <v>345</v>
      </c>
      <c r="D50" s="110" t="s">
        <v>246</v>
      </c>
      <c r="E50" s="242">
        <f>E41</f>
        <v>0</v>
      </c>
      <c r="F50" s="166" t="s">
        <v>54</v>
      </c>
    </row>
    <row r="51" spans="2:6" ht="15.75">
      <c r="B51" s="164">
        <v>31</v>
      </c>
      <c r="C51" s="170" t="s">
        <v>344</v>
      </c>
      <c r="D51" s="110" t="s">
        <v>251</v>
      </c>
      <c r="E51" s="242">
        <f>E45</f>
        <v>0</v>
      </c>
      <c r="F51" s="166" t="s">
        <v>54</v>
      </c>
    </row>
    <row r="52" spans="2:6" ht="15.75">
      <c r="B52" s="164">
        <v>32</v>
      </c>
      <c r="C52" s="170" t="s">
        <v>252</v>
      </c>
      <c r="D52" s="110" t="s">
        <v>229</v>
      </c>
      <c r="E52" s="242" t="e">
        <f>E49+E50+E51</f>
        <v>#DIV/0!</v>
      </c>
      <c r="F52" s="166" t="s">
        <v>54</v>
      </c>
    </row>
    <row r="53" spans="2:6" ht="15.75">
      <c r="B53" s="164">
        <v>33</v>
      </c>
      <c r="C53" s="176" t="s">
        <v>230</v>
      </c>
      <c r="D53" s="110" t="s">
        <v>231</v>
      </c>
      <c r="E53" s="242">
        <f>IF(ISERR(MIN(E48,E52))=TRUE,0,MIN(E48,E52))</f>
        <v>0</v>
      </c>
      <c r="F53" s="166" t="s">
        <v>54</v>
      </c>
    </row>
  </sheetData>
  <sheetProtection/>
  <mergeCells count="7">
    <mergeCell ref="B47:F47"/>
    <mergeCell ref="B10:F10"/>
    <mergeCell ref="B25:F25"/>
    <mergeCell ref="B19:F19"/>
    <mergeCell ref="D17:F17"/>
    <mergeCell ref="C26:C30"/>
    <mergeCell ref="B26:B30"/>
  </mergeCells>
  <printOptions/>
  <pageMargins left="0.75" right="0.75" top="1" bottom="1" header="0.5" footer="0.5"/>
  <pageSetup fitToHeight="1" fitToWidth="1" horizontalDpi="600" verticalDpi="600" orientation="portrait" scale="72" r:id="rId3"/>
  <headerFooter alignWithMargins="0">
    <oddFooter>&amp;L&amp;8City of Chicago
Dept. of Water Management&amp;C&amp;8Permit Application
Drainage Swales Worksheet&amp;R&amp;8&amp;A
Page &amp;P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E12" sqref="E12"/>
    </sheetView>
  </sheetViews>
  <sheetFormatPr defaultColWidth="9.140625" defaultRowHeight="12.75"/>
  <cols>
    <col min="1" max="1" width="15.140625" style="0" customWidth="1"/>
    <col min="2" max="2" width="6.140625" style="172" customWidth="1"/>
    <col min="3" max="3" width="37.7109375" style="0" customWidth="1"/>
    <col min="4" max="4" width="16.0039062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7" ht="12.75"/>
    <row r="8" ht="15.75">
      <c r="B8" s="161" t="s">
        <v>284</v>
      </c>
    </row>
    <row r="9" ht="12.75">
      <c r="B9" s="177"/>
    </row>
    <row r="10" spans="3:7" ht="12.75">
      <c r="C10" s="172"/>
      <c r="D10" s="178"/>
      <c r="E10" s="172"/>
      <c r="F10" s="172"/>
      <c r="G10" s="163"/>
    </row>
    <row r="11" spans="2:7" ht="12.75">
      <c r="B11" s="541" t="s">
        <v>355</v>
      </c>
      <c r="C11" s="541"/>
      <c r="D11" s="541"/>
      <c r="E11" s="541"/>
      <c r="F11" s="541"/>
      <c r="G11" s="163"/>
    </row>
    <row r="12" spans="2:7" ht="20.25" customHeight="1">
      <c r="B12" s="545">
        <v>1</v>
      </c>
      <c r="C12" s="545" t="s">
        <v>358</v>
      </c>
      <c r="D12" s="109" t="s">
        <v>153</v>
      </c>
      <c r="E12" s="171"/>
      <c r="F12" s="105" t="s">
        <v>150</v>
      </c>
      <c r="G12" s="163"/>
    </row>
    <row r="13" spans="2:7" ht="22.5" customHeight="1">
      <c r="B13" s="546"/>
      <c r="C13" s="546"/>
      <c r="D13" s="109" t="s">
        <v>154</v>
      </c>
      <c r="E13" s="171"/>
      <c r="F13" s="105" t="s">
        <v>150</v>
      </c>
      <c r="G13" s="163"/>
    </row>
    <row r="14" spans="2:7" ht="35.25" customHeight="1">
      <c r="B14" s="236"/>
      <c r="C14" s="547"/>
      <c r="D14" s="109" t="s">
        <v>182</v>
      </c>
      <c r="E14" s="171"/>
      <c r="F14" s="105" t="s">
        <v>168</v>
      </c>
      <c r="G14" s="163"/>
    </row>
    <row r="15" spans="3:7" ht="12.75">
      <c r="C15" s="172"/>
      <c r="D15" s="178"/>
      <c r="E15" s="172"/>
      <c r="F15" s="172"/>
      <c r="G15" s="163"/>
    </row>
    <row r="16" spans="2:7" ht="12.75">
      <c r="B16" s="548" t="s">
        <v>356</v>
      </c>
      <c r="C16" s="548"/>
      <c r="D16" s="548"/>
      <c r="E16" s="548"/>
      <c r="F16" s="548"/>
      <c r="G16" s="163"/>
    </row>
    <row r="17" spans="2:7" ht="12.75">
      <c r="B17" s="542" t="s">
        <v>357</v>
      </c>
      <c r="C17" s="543"/>
      <c r="D17" s="543"/>
      <c r="E17" s="543"/>
      <c r="F17" s="544"/>
      <c r="G17" s="163"/>
    </row>
    <row r="18" spans="2:7" ht="12.75" customHeight="1">
      <c r="B18" s="167">
        <v>2</v>
      </c>
      <c r="C18" s="170" t="s">
        <v>183</v>
      </c>
      <c r="D18" s="109" t="s">
        <v>253</v>
      </c>
      <c r="E18" s="254">
        <f>E12*E13</f>
        <v>0</v>
      </c>
      <c r="F18" s="105" t="s">
        <v>141</v>
      </c>
      <c r="G18" s="163"/>
    </row>
    <row r="19" ht="12.75"/>
    <row r="20" ht="12.75"/>
  </sheetData>
  <sheetProtection/>
  <mergeCells count="5">
    <mergeCell ref="B11:F11"/>
    <mergeCell ref="B17:F17"/>
    <mergeCell ref="B12:B13"/>
    <mergeCell ref="C12:C14"/>
    <mergeCell ref="B16:F16"/>
  </mergeCells>
  <printOptions/>
  <pageMargins left="0.75" right="0.75" top="1" bottom="1" header="0.5" footer="0.5"/>
  <pageSetup fitToHeight="1" fitToWidth="1" horizontalDpi="600" verticalDpi="600" orientation="portrait" scale="90" r:id="rId3"/>
  <headerFooter alignWithMargins="0">
    <oddFooter>&amp;L&amp;8City of Chicago
Dept. of Water Management&amp;C&amp;8Permit Application
Green Roof Worksheet&amp;R&amp;8&amp;A
Page &amp;P</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E11" sqref="E11"/>
    </sheetView>
  </sheetViews>
  <sheetFormatPr defaultColWidth="9.140625" defaultRowHeight="12.75"/>
  <cols>
    <col min="1" max="1" width="15.7109375" style="0" customWidth="1"/>
    <col min="2" max="2" width="6.140625" style="172" customWidth="1"/>
    <col min="3" max="3" width="37.7109375" style="0" customWidth="1"/>
    <col min="4" max="4" width="16.0039062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7" spans="1:10" ht="12.75">
      <c r="A7" s="179"/>
      <c r="B7" s="180"/>
      <c r="C7" s="179"/>
      <c r="D7" s="181"/>
      <c r="E7" s="179"/>
      <c r="F7" s="179"/>
      <c r="G7" s="179"/>
      <c r="H7" s="179"/>
      <c r="I7" s="179"/>
      <c r="J7" s="179"/>
    </row>
    <row r="8" spans="1:11" ht="15.75">
      <c r="A8" s="179"/>
      <c r="B8" s="182" t="s">
        <v>283</v>
      </c>
      <c r="C8" s="179"/>
      <c r="D8" s="181"/>
      <c r="E8" s="179"/>
      <c r="F8" s="179"/>
      <c r="G8" s="179"/>
      <c r="H8" s="179"/>
      <c r="I8" s="179"/>
      <c r="J8" s="179"/>
      <c r="K8" s="183"/>
    </row>
    <row r="9" spans="1:10" ht="12.75">
      <c r="A9" s="179"/>
      <c r="B9" s="180"/>
      <c r="C9" s="179"/>
      <c r="D9" s="181"/>
      <c r="E9" s="179"/>
      <c r="F9" s="179"/>
      <c r="G9" s="179"/>
      <c r="H9" s="179"/>
      <c r="I9" s="179"/>
      <c r="J9" s="179"/>
    </row>
    <row r="10" spans="1:10" ht="12.75">
      <c r="A10" s="179"/>
      <c r="B10" s="550" t="s">
        <v>139</v>
      </c>
      <c r="C10" s="550"/>
      <c r="D10" s="550"/>
      <c r="E10" s="550"/>
      <c r="F10" s="550"/>
      <c r="G10" s="184"/>
      <c r="H10" s="179"/>
      <c r="I10" s="179"/>
      <c r="J10" s="179"/>
    </row>
    <row r="11" spans="1:10" ht="30" customHeight="1">
      <c r="A11" s="179"/>
      <c r="B11" s="164">
        <v>1</v>
      </c>
      <c r="C11" s="170" t="s">
        <v>140</v>
      </c>
      <c r="D11" s="110" t="s">
        <v>219</v>
      </c>
      <c r="E11" s="149"/>
      <c r="F11" s="166" t="s">
        <v>141</v>
      </c>
      <c r="G11" s="184"/>
      <c r="H11" s="179"/>
      <c r="I11" s="179"/>
      <c r="J11" s="179"/>
    </row>
    <row r="12" spans="1:10" ht="44.25" customHeight="1">
      <c r="A12" s="179"/>
      <c r="B12" s="167">
        <v>2</v>
      </c>
      <c r="C12" s="168" t="s">
        <v>184</v>
      </c>
      <c r="D12" s="110" t="s">
        <v>46</v>
      </c>
      <c r="E12" s="169"/>
      <c r="F12" s="166" t="s">
        <v>143</v>
      </c>
      <c r="G12" s="184"/>
      <c r="H12" s="179"/>
      <c r="I12" s="179"/>
      <c r="J12" s="179"/>
    </row>
    <row r="13" spans="1:10" ht="30" customHeight="1">
      <c r="A13" s="179"/>
      <c r="B13" s="185">
        <v>3</v>
      </c>
      <c r="C13" s="170" t="str">
        <f>IF('1.0 RATE CONTROL'!E45="Yes","Volume of upstream runoff from a 1/2-inch storm = C * At * (0.5) * 1/12","Volume of upstream runoff from a 1-inch storm = C * At * 1/12")</f>
        <v>Volume of upstream runoff from a 1-inch storm = C * At * 1/12</v>
      </c>
      <c r="D13" s="187" t="s">
        <v>254</v>
      </c>
      <c r="E13" s="242">
        <f>IF('1.0 RATE CONTROL'!E45="Yes",E12*E11*(0.5)*(1/12),E12*E11*1/12)</f>
        <v>0</v>
      </c>
      <c r="F13" s="188" t="s">
        <v>54</v>
      </c>
      <c r="G13" s="184"/>
      <c r="H13" s="179"/>
      <c r="I13" s="179"/>
      <c r="J13" s="179"/>
    </row>
    <row r="14" spans="1:10" ht="69" customHeight="1">
      <c r="A14" s="179"/>
      <c r="B14" s="189">
        <v>4</v>
      </c>
      <c r="C14" s="186" t="s">
        <v>185</v>
      </c>
      <c r="D14" s="552"/>
      <c r="E14" s="553"/>
      <c r="F14" s="554"/>
      <c r="G14" s="184"/>
      <c r="H14" s="179"/>
      <c r="I14" s="179"/>
      <c r="J14" s="179"/>
    </row>
    <row r="15" spans="1:10" ht="12.75">
      <c r="A15" s="179"/>
      <c r="B15" s="184"/>
      <c r="C15" s="184"/>
      <c r="D15" s="181"/>
      <c r="E15" s="184"/>
      <c r="F15" s="184"/>
      <c r="G15" s="184"/>
      <c r="H15" s="179"/>
      <c r="I15" s="179"/>
      <c r="J15" s="179"/>
    </row>
    <row r="16" spans="1:10" ht="12.75">
      <c r="A16" s="179"/>
      <c r="B16" s="550" t="s">
        <v>146</v>
      </c>
      <c r="C16" s="550"/>
      <c r="D16" s="550"/>
      <c r="E16" s="550"/>
      <c r="F16" s="550"/>
      <c r="G16" s="184"/>
      <c r="H16" s="179"/>
      <c r="I16" s="179"/>
      <c r="J16" s="179"/>
    </row>
    <row r="17" spans="1:10" ht="31.5" customHeight="1">
      <c r="A17" s="179"/>
      <c r="B17" s="189">
        <v>5</v>
      </c>
      <c r="C17" s="186" t="s">
        <v>186</v>
      </c>
      <c r="D17" s="187" t="s">
        <v>147</v>
      </c>
      <c r="E17" s="190"/>
      <c r="F17" s="188" t="s">
        <v>148</v>
      </c>
      <c r="G17" s="184"/>
      <c r="H17" s="179"/>
      <c r="I17" s="179"/>
      <c r="J17" s="179"/>
    </row>
    <row r="18" spans="1:10" ht="46.5" customHeight="1">
      <c r="A18" s="179"/>
      <c r="B18" s="189">
        <v>6</v>
      </c>
      <c r="C18" s="186" t="s">
        <v>187</v>
      </c>
      <c r="D18" s="187" t="s">
        <v>255</v>
      </c>
      <c r="E18" s="256">
        <f>E17/12*48</f>
        <v>0</v>
      </c>
      <c r="F18" s="188" t="s">
        <v>150</v>
      </c>
      <c r="G18" s="184"/>
      <c r="H18" s="179"/>
      <c r="I18" s="179"/>
      <c r="J18" s="179"/>
    </row>
    <row r="19" spans="1:10" ht="46.5" customHeight="1">
      <c r="A19" s="179"/>
      <c r="B19" s="167">
        <v>7</v>
      </c>
      <c r="C19" s="170" t="s">
        <v>338</v>
      </c>
      <c r="D19" s="109" t="s">
        <v>341</v>
      </c>
      <c r="E19" s="204"/>
      <c r="F19" s="105" t="s">
        <v>150</v>
      </c>
      <c r="G19" s="184"/>
      <c r="H19" s="179"/>
      <c r="I19" s="179"/>
      <c r="J19" s="179"/>
    </row>
    <row r="20" spans="1:10" ht="46.5" customHeight="1">
      <c r="A20" s="179"/>
      <c r="B20" s="167">
        <v>8</v>
      </c>
      <c r="C20" s="170" t="s">
        <v>339</v>
      </c>
      <c r="D20" s="109" t="s">
        <v>340</v>
      </c>
      <c r="E20" s="204"/>
      <c r="F20" s="105" t="s">
        <v>150</v>
      </c>
      <c r="G20" s="184"/>
      <c r="H20" s="179"/>
      <c r="I20" s="179"/>
      <c r="J20" s="179"/>
    </row>
    <row r="21" spans="1:10" ht="46.5" customHeight="1">
      <c r="A21" s="179"/>
      <c r="B21" s="167">
        <v>9</v>
      </c>
      <c r="C21" s="170" t="s">
        <v>149</v>
      </c>
      <c r="D21" s="109" t="s">
        <v>342</v>
      </c>
      <c r="E21" s="252">
        <f>E19-E20</f>
        <v>0</v>
      </c>
      <c r="F21" s="105" t="s">
        <v>150</v>
      </c>
      <c r="G21" s="184"/>
      <c r="H21" s="179"/>
      <c r="I21" s="179"/>
      <c r="J21" s="179"/>
    </row>
    <row r="22" spans="1:10" ht="16.5" customHeight="1">
      <c r="A22" s="179"/>
      <c r="B22" s="184"/>
      <c r="C22" s="180"/>
      <c r="D22" s="181"/>
      <c r="E22" s="184"/>
      <c r="F22" s="184"/>
      <c r="G22" s="184"/>
      <c r="H22" s="179"/>
      <c r="I22" s="179"/>
      <c r="J22" s="179"/>
    </row>
    <row r="23" spans="1:10" ht="12.75">
      <c r="A23" s="179"/>
      <c r="B23" s="550" t="s">
        <v>151</v>
      </c>
      <c r="C23" s="550"/>
      <c r="D23" s="550"/>
      <c r="E23" s="550"/>
      <c r="F23" s="550"/>
      <c r="G23" s="184"/>
      <c r="H23" s="179"/>
      <c r="I23" s="179"/>
      <c r="J23" s="179"/>
    </row>
    <row r="24" spans="1:10" ht="16.5" customHeight="1">
      <c r="A24" s="179"/>
      <c r="B24" s="551">
        <v>10</v>
      </c>
      <c r="C24" s="549" t="s">
        <v>188</v>
      </c>
      <c r="D24" s="187" t="s">
        <v>153</v>
      </c>
      <c r="E24" s="171"/>
      <c r="F24" s="188" t="s">
        <v>150</v>
      </c>
      <c r="G24" s="184"/>
      <c r="H24" s="179"/>
      <c r="I24" s="179"/>
      <c r="J24" s="179"/>
    </row>
    <row r="25" spans="1:10" ht="12.75">
      <c r="A25" s="179"/>
      <c r="B25" s="551"/>
      <c r="C25" s="549"/>
      <c r="D25" s="187" t="s">
        <v>154</v>
      </c>
      <c r="E25" s="171"/>
      <c r="F25" s="188" t="s">
        <v>150</v>
      </c>
      <c r="G25" s="184"/>
      <c r="H25" s="179"/>
      <c r="I25" s="179"/>
      <c r="J25" s="179"/>
    </row>
    <row r="26" spans="1:10" ht="15.75">
      <c r="A26" s="179"/>
      <c r="B26" s="551"/>
      <c r="C26" s="549"/>
      <c r="D26" s="187" t="s">
        <v>256</v>
      </c>
      <c r="E26" s="242">
        <f>+E24*E25</f>
        <v>0</v>
      </c>
      <c r="F26" s="188" t="s">
        <v>141</v>
      </c>
      <c r="G26" s="184"/>
      <c r="H26" s="179"/>
      <c r="I26" s="179"/>
      <c r="J26" s="179"/>
    </row>
    <row r="27" spans="1:10" ht="57">
      <c r="A27" s="179"/>
      <c r="B27" s="189">
        <v>11</v>
      </c>
      <c r="C27" s="186" t="s">
        <v>257</v>
      </c>
      <c r="D27" s="187" t="s">
        <v>258</v>
      </c>
      <c r="E27" s="171"/>
      <c r="F27" s="188" t="s">
        <v>150</v>
      </c>
      <c r="G27" s="184"/>
      <c r="H27" s="179"/>
      <c r="I27" s="179"/>
      <c r="J27" s="179"/>
    </row>
    <row r="28" spans="1:10" ht="30" customHeight="1">
      <c r="A28" s="179"/>
      <c r="B28" s="189">
        <v>12</v>
      </c>
      <c r="C28" s="186" t="s">
        <v>189</v>
      </c>
      <c r="D28" s="187" t="s">
        <v>259</v>
      </c>
      <c r="E28" s="171"/>
      <c r="F28" s="188" t="s">
        <v>150</v>
      </c>
      <c r="G28" s="184"/>
      <c r="H28" s="179"/>
      <c r="I28" s="179"/>
      <c r="J28" s="179"/>
    </row>
    <row r="29" spans="1:10" ht="30" customHeight="1">
      <c r="A29" s="179"/>
      <c r="B29" s="189">
        <v>13</v>
      </c>
      <c r="C29" s="186" t="s">
        <v>353</v>
      </c>
      <c r="D29" s="187" t="s">
        <v>378</v>
      </c>
      <c r="E29" s="169"/>
      <c r="F29" s="413" t="s">
        <v>143</v>
      </c>
      <c r="G29" s="184"/>
      <c r="H29" s="179"/>
      <c r="I29" s="179"/>
      <c r="J29" s="179"/>
    </row>
    <row r="30" spans="1:10" ht="30" customHeight="1">
      <c r="A30" s="179"/>
      <c r="B30" s="189">
        <v>14</v>
      </c>
      <c r="C30" s="186" t="s">
        <v>379</v>
      </c>
      <c r="D30" s="187" t="s">
        <v>261</v>
      </c>
      <c r="E30" s="242">
        <f>E26*E27+E26*E28*E29</f>
        <v>0</v>
      </c>
      <c r="F30" s="188" t="s">
        <v>54</v>
      </c>
      <c r="G30" s="184"/>
      <c r="H30" s="179"/>
      <c r="I30" s="179"/>
      <c r="J30" s="179"/>
    </row>
    <row r="31" spans="1:10" ht="12.75">
      <c r="A31" s="179"/>
      <c r="B31" s="184"/>
      <c r="C31" s="180"/>
      <c r="D31" s="181"/>
      <c r="E31" s="184"/>
      <c r="F31" s="184"/>
      <c r="G31" s="184"/>
      <c r="H31" s="179"/>
      <c r="I31" s="179"/>
      <c r="J31" s="179"/>
    </row>
    <row r="32" spans="1:10" ht="12.75">
      <c r="A32" s="179"/>
      <c r="B32" s="550" t="s">
        <v>157</v>
      </c>
      <c r="C32" s="550"/>
      <c r="D32" s="550"/>
      <c r="E32" s="550"/>
      <c r="F32" s="550"/>
      <c r="G32" s="184"/>
      <c r="H32" s="179"/>
      <c r="I32" s="179"/>
      <c r="J32" s="179"/>
    </row>
    <row r="33" spans="1:10" ht="15.75">
      <c r="A33" s="179"/>
      <c r="B33" s="189">
        <v>15</v>
      </c>
      <c r="C33" s="186" t="s">
        <v>311</v>
      </c>
      <c r="D33" s="187" t="s">
        <v>254</v>
      </c>
      <c r="E33" s="242">
        <f>E13</f>
        <v>0</v>
      </c>
      <c r="F33" s="188" t="s">
        <v>54</v>
      </c>
      <c r="G33" s="184"/>
      <c r="H33" s="179"/>
      <c r="I33" s="179"/>
      <c r="J33" s="179"/>
    </row>
    <row r="34" spans="1:10" ht="15.75">
      <c r="A34" s="179"/>
      <c r="B34" s="189">
        <v>16</v>
      </c>
      <c r="C34" s="186" t="s">
        <v>262</v>
      </c>
      <c r="D34" s="187" t="s">
        <v>229</v>
      </c>
      <c r="E34" s="242">
        <f>E30</f>
        <v>0</v>
      </c>
      <c r="F34" s="188" t="s">
        <v>54</v>
      </c>
      <c r="G34" s="184"/>
      <c r="H34" s="179"/>
      <c r="I34" s="179"/>
      <c r="J34" s="179"/>
    </row>
    <row r="35" spans="1:10" ht="15.75">
      <c r="A35" s="179"/>
      <c r="B35" s="189">
        <v>17</v>
      </c>
      <c r="C35" s="170" t="s">
        <v>230</v>
      </c>
      <c r="D35" s="110" t="s">
        <v>231</v>
      </c>
      <c r="E35" s="242">
        <f>MIN(E33:E34)</f>
        <v>0</v>
      </c>
      <c r="F35" s="188" t="s">
        <v>54</v>
      </c>
      <c r="G35" s="184"/>
      <c r="H35" s="179"/>
      <c r="I35" s="179"/>
      <c r="J35" s="179"/>
    </row>
    <row r="36" spans="1:10" ht="12.75">
      <c r="A36" s="179"/>
      <c r="B36" s="180"/>
      <c r="C36" s="179"/>
      <c r="D36" s="181"/>
      <c r="E36" s="179"/>
      <c r="F36" s="179"/>
      <c r="G36" s="179"/>
      <c r="H36" s="179"/>
      <c r="I36" s="179"/>
      <c r="J36" s="179"/>
    </row>
    <row r="37" spans="1:10" ht="12.75">
      <c r="A37" s="179"/>
      <c r="B37" s="180"/>
      <c r="C37" s="179"/>
      <c r="D37" s="181"/>
      <c r="E37" s="179"/>
      <c r="F37" s="179"/>
      <c r="G37" s="179"/>
      <c r="H37" s="179"/>
      <c r="I37" s="179"/>
      <c r="J37" s="179"/>
    </row>
    <row r="38" spans="1:10" ht="12.75">
      <c r="A38" s="179"/>
      <c r="B38" s="180"/>
      <c r="C38" s="179"/>
      <c r="D38" s="181"/>
      <c r="E38" s="179"/>
      <c r="F38" s="179"/>
      <c r="G38" s="179"/>
      <c r="H38" s="179"/>
      <c r="I38" s="179"/>
      <c r="J38" s="179"/>
    </row>
    <row r="39" spans="1:10" ht="12.75">
      <c r="A39" s="179"/>
      <c r="B39" s="180"/>
      <c r="C39" s="179"/>
      <c r="D39" s="181"/>
      <c r="E39" s="179"/>
      <c r="F39" s="179"/>
      <c r="G39" s="179"/>
      <c r="H39" s="179"/>
      <c r="I39" s="179"/>
      <c r="J39" s="179"/>
    </row>
    <row r="40" spans="1:10" ht="12.75">
      <c r="A40" s="179"/>
      <c r="B40" s="180"/>
      <c r="C40" s="179"/>
      <c r="D40" s="181"/>
      <c r="E40" s="179"/>
      <c r="F40" s="179"/>
      <c r="G40" s="179"/>
      <c r="H40" s="179"/>
      <c r="I40" s="179"/>
      <c r="J40" s="179"/>
    </row>
    <row r="41" spans="1:10" ht="12.75">
      <c r="A41" s="179"/>
      <c r="B41" s="180"/>
      <c r="C41" s="179"/>
      <c r="D41" s="181"/>
      <c r="E41" s="179"/>
      <c r="F41" s="179"/>
      <c r="G41" s="179"/>
      <c r="H41" s="179"/>
      <c r="I41" s="179"/>
      <c r="J41" s="179"/>
    </row>
    <row r="42" spans="1:10" ht="12.75">
      <c r="A42" s="179"/>
      <c r="B42" s="180"/>
      <c r="C42" s="179"/>
      <c r="D42" s="181"/>
      <c r="E42" s="179"/>
      <c r="F42" s="179"/>
      <c r="G42" s="179"/>
      <c r="H42" s="179"/>
      <c r="I42" s="179"/>
      <c r="J42" s="179"/>
    </row>
  </sheetData>
  <sheetProtection/>
  <mergeCells count="7">
    <mergeCell ref="C24:C26"/>
    <mergeCell ref="B32:F32"/>
    <mergeCell ref="B24:B26"/>
    <mergeCell ref="B10:F10"/>
    <mergeCell ref="B23:F23"/>
    <mergeCell ref="B16:F16"/>
    <mergeCell ref="D14:F14"/>
  </mergeCells>
  <printOptions/>
  <pageMargins left="0.75" right="0.75" top="1" bottom="1" header="0.5" footer="0.5"/>
  <pageSetup fitToHeight="1" fitToWidth="1" horizontalDpi="600" verticalDpi="600" orientation="portrait" scale="78" r:id="rId1"/>
  <headerFooter alignWithMargins="0">
    <oddFooter>&amp;L&amp;8City of Chicago
Dept. of Water Management&amp;C&amp;8Permit Application
Permeable Pavement Worksheet&amp;R&amp;8&amp;A
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D12" sqref="D12"/>
    </sheetView>
  </sheetViews>
  <sheetFormatPr defaultColWidth="9.140625" defaultRowHeight="12.75"/>
  <cols>
    <col min="1" max="1" width="16.7109375" style="0" customWidth="1"/>
    <col min="2" max="2" width="6.140625" style="172" customWidth="1"/>
    <col min="3" max="3" width="41.421875" style="0" customWidth="1"/>
    <col min="4" max="4" width="16.00390625" style="162" customWidth="1"/>
    <col min="5" max="5" width="14.00390625" style="0" customWidth="1"/>
    <col min="6" max="7" width="16.00390625" style="0" customWidth="1"/>
    <col min="8" max="8" width="12.7109375" style="0" customWidth="1"/>
    <col min="9" max="9" width="15.1406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7" ht="12.75"/>
    <row r="8" ht="15.75">
      <c r="B8" s="161" t="s">
        <v>282</v>
      </c>
    </row>
    <row r="9" ht="12.75"/>
    <row r="10" spans="2:9" ht="12.75">
      <c r="B10" s="556" t="s">
        <v>190</v>
      </c>
      <c r="C10" s="556"/>
      <c r="D10" s="556"/>
      <c r="E10" s="556"/>
      <c r="F10" s="556"/>
      <c r="G10" s="556"/>
      <c r="H10" s="556"/>
      <c r="I10" s="556"/>
    </row>
    <row r="11" spans="2:9" ht="72.75" customHeight="1">
      <c r="B11" s="109">
        <v>1</v>
      </c>
      <c r="C11" s="109" t="s">
        <v>191</v>
      </c>
      <c r="D11" s="109" t="s">
        <v>192</v>
      </c>
      <c r="E11" s="109" t="s">
        <v>193</v>
      </c>
      <c r="F11" s="191" t="s">
        <v>194</v>
      </c>
      <c r="G11" s="191" t="s">
        <v>195</v>
      </c>
      <c r="H11" s="191" t="s">
        <v>477</v>
      </c>
      <c r="I11" s="191" t="s">
        <v>196</v>
      </c>
    </row>
    <row r="12" spans="2:9" ht="12.75">
      <c r="B12" s="105"/>
      <c r="C12" s="192" t="s">
        <v>3</v>
      </c>
      <c r="D12" s="193"/>
      <c r="E12" s="194"/>
      <c r="F12" s="194"/>
      <c r="G12" s="193"/>
      <c r="H12" s="257">
        <f>+E12*50+G12*0.5</f>
        <v>0</v>
      </c>
      <c r="I12" s="239">
        <f>+D12-H12</f>
        <v>0</v>
      </c>
    </row>
    <row r="13" spans="2:9" ht="12.75">
      <c r="B13" s="105"/>
      <c r="C13" s="192" t="s">
        <v>197</v>
      </c>
      <c r="D13" s="193"/>
      <c r="E13" s="194"/>
      <c r="F13" s="194"/>
      <c r="G13" s="193"/>
      <c r="H13" s="257">
        <f>+E13*50+G13*0.5</f>
        <v>0</v>
      </c>
      <c r="I13" s="239">
        <f>+D13-H13</f>
        <v>0</v>
      </c>
    </row>
    <row r="14" spans="2:9" ht="12.75">
      <c r="B14" s="105"/>
      <c r="C14" s="192" t="s">
        <v>198</v>
      </c>
      <c r="D14" s="193"/>
      <c r="E14" s="194"/>
      <c r="F14" s="194"/>
      <c r="G14" s="193"/>
      <c r="H14" s="257">
        <f>+E14*50+G14*0.5</f>
        <v>0</v>
      </c>
      <c r="I14" s="239">
        <f>+D14-H14</f>
        <v>0</v>
      </c>
    </row>
    <row r="15" spans="3:8" ht="12.75">
      <c r="C15" s="172"/>
      <c r="D15" s="178"/>
      <c r="E15" s="172"/>
      <c r="F15" s="172"/>
      <c r="G15" s="172"/>
      <c r="H15" s="163"/>
    </row>
    <row r="16" spans="2:8" ht="12.75" customHeight="1">
      <c r="B16" s="548" t="s">
        <v>199</v>
      </c>
      <c r="C16" s="548"/>
      <c r="D16" s="548"/>
      <c r="E16" s="548"/>
      <c r="F16" s="548"/>
      <c r="G16" s="195"/>
      <c r="H16" s="163"/>
    </row>
    <row r="17" spans="2:8" ht="41.25" customHeight="1">
      <c r="B17" s="555">
        <v>2</v>
      </c>
      <c r="C17" s="529" t="s">
        <v>200</v>
      </c>
      <c r="D17" s="109" t="s">
        <v>201</v>
      </c>
      <c r="E17" s="109" t="s">
        <v>202</v>
      </c>
      <c r="F17" s="109" t="s">
        <v>476</v>
      </c>
      <c r="G17" s="113"/>
      <c r="H17" s="163"/>
    </row>
    <row r="18" spans="2:8" ht="12.75">
      <c r="B18" s="555"/>
      <c r="C18" s="529"/>
      <c r="D18" s="196"/>
      <c r="E18" s="197"/>
      <c r="F18" s="197"/>
      <c r="G18" s="113"/>
      <c r="H18" s="163"/>
    </row>
    <row r="19" spans="2:8" ht="12.75">
      <c r="B19" s="555"/>
      <c r="C19" s="529"/>
      <c r="D19" s="196"/>
      <c r="E19" s="197"/>
      <c r="F19" s="197"/>
      <c r="G19" s="113"/>
      <c r="H19" s="163"/>
    </row>
    <row r="20" spans="2:8" ht="12.75">
      <c r="B20" s="555"/>
      <c r="C20" s="529"/>
      <c r="D20" s="196"/>
      <c r="E20" s="197"/>
      <c r="F20" s="197"/>
      <c r="G20" s="113"/>
      <c r="H20" s="163"/>
    </row>
    <row r="21" spans="2:8" ht="12.75">
      <c r="B21" s="555"/>
      <c r="C21" s="529"/>
      <c r="D21" s="196"/>
      <c r="E21" s="197"/>
      <c r="F21" s="197"/>
      <c r="G21" s="113"/>
      <c r="H21" s="163"/>
    </row>
    <row r="22" spans="2:8" ht="12.75">
      <c r="B22" s="555"/>
      <c r="C22" s="529"/>
      <c r="D22" s="196"/>
      <c r="E22" s="197"/>
      <c r="F22" s="197"/>
      <c r="G22" s="113"/>
      <c r="H22" s="163"/>
    </row>
    <row r="23" spans="2:8" ht="12.75">
      <c r="B23" s="555"/>
      <c r="C23" s="529"/>
      <c r="D23" s="196"/>
      <c r="E23" s="197"/>
      <c r="F23" s="197"/>
      <c r="G23" s="113"/>
      <c r="H23" s="163"/>
    </row>
    <row r="24" spans="2:8" ht="12.75">
      <c r="B24" s="555"/>
      <c r="C24" s="529"/>
      <c r="D24" s="196"/>
      <c r="E24" s="197"/>
      <c r="F24" s="197"/>
      <c r="G24" s="113"/>
      <c r="H24" s="163"/>
    </row>
    <row r="25" spans="2:8" ht="38.25">
      <c r="B25" s="555">
        <v>3</v>
      </c>
      <c r="C25" s="529" t="s">
        <v>203</v>
      </c>
      <c r="D25" s="109" t="s">
        <v>201</v>
      </c>
      <c r="E25" s="109" t="s">
        <v>204</v>
      </c>
      <c r="F25" s="109" t="s">
        <v>205</v>
      </c>
      <c r="G25" s="113"/>
      <c r="H25" s="163"/>
    </row>
    <row r="26" spans="2:8" ht="12.75">
      <c r="B26" s="555"/>
      <c r="C26" s="529"/>
      <c r="D26" s="196"/>
      <c r="E26" s="197"/>
      <c r="F26" s="197"/>
      <c r="G26" s="113"/>
      <c r="H26" s="163"/>
    </row>
    <row r="27" spans="2:8" ht="12.75">
      <c r="B27" s="555"/>
      <c r="C27" s="529"/>
      <c r="D27" s="196"/>
      <c r="E27" s="197"/>
      <c r="F27" s="197"/>
      <c r="G27" s="113"/>
      <c r="H27" s="163"/>
    </row>
    <row r="28" spans="2:8" ht="12.75">
      <c r="B28" s="555"/>
      <c r="C28" s="529"/>
      <c r="D28" s="196"/>
      <c r="E28" s="197"/>
      <c r="F28" s="197"/>
      <c r="G28" s="113"/>
      <c r="H28" s="163"/>
    </row>
    <row r="29" spans="2:8" ht="12.75">
      <c r="B29" s="555"/>
      <c r="C29" s="529"/>
      <c r="D29" s="196"/>
      <c r="E29" s="197"/>
      <c r="F29" s="197"/>
      <c r="G29" s="113"/>
      <c r="H29" s="163"/>
    </row>
    <row r="30" spans="2:8" ht="12.75">
      <c r="B30" s="555"/>
      <c r="C30" s="529"/>
      <c r="D30" s="196"/>
      <c r="E30" s="197"/>
      <c r="F30" s="197"/>
      <c r="G30" s="113"/>
      <c r="H30" s="163"/>
    </row>
    <row r="31" spans="2:8" ht="12.75">
      <c r="B31" s="555"/>
      <c r="C31" s="529"/>
      <c r="D31" s="196"/>
      <c r="E31" s="197"/>
      <c r="F31" s="197"/>
      <c r="G31" s="113"/>
      <c r="H31" s="163"/>
    </row>
    <row r="32" spans="2:8" ht="12.75">
      <c r="B32" s="555"/>
      <c r="C32" s="529"/>
      <c r="D32" s="196"/>
      <c r="E32" s="197"/>
      <c r="F32" s="197"/>
      <c r="G32" s="113"/>
      <c r="H32" s="163"/>
    </row>
    <row r="33" spans="2:8" ht="12.75">
      <c r="B33" s="198"/>
      <c r="C33" s="199"/>
      <c r="D33" s="200"/>
      <c r="E33" s="113"/>
      <c r="F33" s="113"/>
      <c r="G33" s="113"/>
      <c r="H33" s="163"/>
    </row>
  </sheetData>
  <sheetProtection/>
  <mergeCells count="6">
    <mergeCell ref="B25:B32"/>
    <mergeCell ref="C25:C32"/>
    <mergeCell ref="B16:F16"/>
    <mergeCell ref="B10:I10"/>
    <mergeCell ref="C17:C24"/>
    <mergeCell ref="B17:B24"/>
  </mergeCells>
  <printOptions/>
  <pageMargins left="0.75" right="0.75" top="1" bottom="1" header="0.5" footer="0.5"/>
  <pageSetup fitToHeight="1" fitToWidth="1" horizontalDpi="600" verticalDpi="600" orientation="portrait" scale="59" r:id="rId3"/>
  <headerFooter alignWithMargins="0">
    <oddFooter>&amp;L&amp;8City of Chicago
Dept. of Water Management&amp;C&amp;8Permit Applicatiion
Stormwater Trees Worksheet&amp;R&amp;8&amp;A
Page &amp;P</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E11" sqref="E11"/>
    </sheetView>
  </sheetViews>
  <sheetFormatPr defaultColWidth="9.140625" defaultRowHeight="12.75"/>
  <cols>
    <col min="1" max="1" width="15.7109375" style="0" customWidth="1"/>
    <col min="2" max="2" width="6.140625" style="172" customWidth="1"/>
    <col min="3" max="3" width="37.7109375" style="0" customWidth="1"/>
    <col min="4" max="4" width="16.0039062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7" spans="1:10" ht="12.75">
      <c r="A7" s="179"/>
      <c r="B7" s="180"/>
      <c r="C7" s="179"/>
      <c r="D7" s="181"/>
      <c r="E7" s="179"/>
      <c r="F7" s="179"/>
      <c r="G7" s="179"/>
      <c r="H7" s="179"/>
      <c r="I7" s="179"/>
      <c r="J7" s="179"/>
    </row>
    <row r="8" spans="1:11" ht="15.75">
      <c r="A8" s="179"/>
      <c r="B8" s="182" t="s">
        <v>291</v>
      </c>
      <c r="C8" s="179"/>
      <c r="D8" s="181"/>
      <c r="E8" s="179"/>
      <c r="F8" s="179"/>
      <c r="G8" s="179"/>
      <c r="H8" s="179"/>
      <c r="I8" s="179"/>
      <c r="J8" s="179"/>
      <c r="K8" s="183"/>
    </row>
    <row r="9" spans="1:10" ht="12.75">
      <c r="A9" s="179"/>
      <c r="B9" s="180"/>
      <c r="C9" s="179"/>
      <c r="D9" s="181"/>
      <c r="E9" s="179"/>
      <c r="F9" s="179"/>
      <c r="G9" s="179"/>
      <c r="H9" s="179"/>
      <c r="I9" s="179"/>
      <c r="J9" s="179"/>
    </row>
    <row r="10" spans="1:10" ht="12.75">
      <c r="A10" s="179"/>
      <c r="B10" s="550" t="s">
        <v>139</v>
      </c>
      <c r="C10" s="550"/>
      <c r="D10" s="550"/>
      <c r="E10" s="550"/>
      <c r="F10" s="550"/>
      <c r="G10" s="184"/>
      <c r="H10" s="179"/>
      <c r="I10" s="179"/>
      <c r="J10" s="179"/>
    </row>
    <row r="11" spans="1:10" ht="30" customHeight="1">
      <c r="A11" s="179"/>
      <c r="B11" s="164">
        <v>1</v>
      </c>
      <c r="C11" s="170" t="s">
        <v>206</v>
      </c>
      <c r="D11" s="110" t="s">
        <v>219</v>
      </c>
      <c r="E11" s="149"/>
      <c r="F11" s="166" t="s">
        <v>141</v>
      </c>
      <c r="G11" s="184"/>
      <c r="H11" s="179"/>
      <c r="I11" s="179"/>
      <c r="J11" s="179"/>
    </row>
    <row r="12" spans="1:10" ht="44.25" customHeight="1">
      <c r="A12" s="179"/>
      <c r="B12" s="167">
        <v>2</v>
      </c>
      <c r="C12" s="168" t="s">
        <v>207</v>
      </c>
      <c r="D12" s="110" t="s">
        <v>46</v>
      </c>
      <c r="E12" s="256">
        <v>0.95</v>
      </c>
      <c r="F12" s="166" t="s">
        <v>143</v>
      </c>
      <c r="G12" s="184"/>
      <c r="H12" s="179"/>
      <c r="I12" s="179"/>
      <c r="J12" s="179"/>
    </row>
    <row r="13" spans="1:10" ht="30" customHeight="1">
      <c r="A13" s="179"/>
      <c r="B13" s="185">
        <v>3</v>
      </c>
      <c r="C13" s="170" t="str">
        <f>IF('1.0 RATE CONTROL'!E45="Yes","Volume of upstream runoff from a 1/2-inch storm = C * At * (0.5) * 1/12","Volume of upstream runoff from a 1-inch storm = C * At * 1/12")</f>
        <v>Volume of upstream runoff from a 1-inch storm = C * At * 1/12</v>
      </c>
      <c r="D13" s="187" t="s">
        <v>254</v>
      </c>
      <c r="E13" s="242">
        <f>IF('1.0 RATE CONTROL'!E45="Yes",E12*E11*(0.5)*(1/12),E12*E11*1/12)</f>
        <v>0</v>
      </c>
      <c r="F13" s="188" t="s">
        <v>54</v>
      </c>
      <c r="G13" s="184"/>
      <c r="H13" s="179"/>
      <c r="I13" s="179"/>
      <c r="J13" s="179"/>
    </row>
    <row r="14" spans="1:10" ht="69" customHeight="1">
      <c r="A14" s="179"/>
      <c r="B14" s="189">
        <v>4</v>
      </c>
      <c r="C14" s="186" t="s">
        <v>208</v>
      </c>
      <c r="D14" s="552"/>
      <c r="E14" s="553"/>
      <c r="F14" s="554"/>
      <c r="G14" s="184"/>
      <c r="H14" s="179"/>
      <c r="I14" s="179"/>
      <c r="J14" s="179"/>
    </row>
    <row r="15" spans="1:10" ht="12.75">
      <c r="A15" s="179"/>
      <c r="B15" s="184"/>
      <c r="C15" s="184"/>
      <c r="D15" s="181"/>
      <c r="E15" s="184"/>
      <c r="F15" s="184"/>
      <c r="G15" s="184"/>
      <c r="H15" s="179"/>
      <c r="I15" s="179"/>
      <c r="J15" s="179"/>
    </row>
    <row r="16" spans="1:10" ht="12.75">
      <c r="A16" s="179"/>
      <c r="B16" s="550" t="s">
        <v>146</v>
      </c>
      <c r="C16" s="550"/>
      <c r="D16" s="550"/>
      <c r="E16" s="550"/>
      <c r="F16" s="550"/>
      <c r="G16" s="184"/>
      <c r="H16" s="179"/>
      <c r="I16" s="179"/>
      <c r="J16" s="179"/>
    </row>
    <row r="17" spans="1:10" ht="43.5" customHeight="1">
      <c r="A17" s="179"/>
      <c r="B17" s="189">
        <v>5</v>
      </c>
      <c r="C17" s="170" t="s">
        <v>596</v>
      </c>
      <c r="D17" s="187" t="s">
        <v>147</v>
      </c>
      <c r="E17" s="190"/>
      <c r="F17" s="188" t="s">
        <v>148</v>
      </c>
      <c r="G17" s="184"/>
      <c r="H17" s="179"/>
      <c r="I17" s="179"/>
      <c r="J17" s="179"/>
    </row>
    <row r="18" spans="1:10" ht="46.5" customHeight="1">
      <c r="A18" s="179"/>
      <c r="B18" s="189">
        <v>6</v>
      </c>
      <c r="C18" s="186" t="s">
        <v>347</v>
      </c>
      <c r="D18" s="187" t="s">
        <v>255</v>
      </c>
      <c r="E18" s="256">
        <f>E17/12*48</f>
        <v>0</v>
      </c>
      <c r="F18" s="188" t="s">
        <v>150</v>
      </c>
      <c r="G18" s="184"/>
      <c r="H18" s="179"/>
      <c r="I18" s="179"/>
      <c r="J18" s="179"/>
    </row>
    <row r="19" spans="1:10" ht="46.5" customHeight="1">
      <c r="A19" s="179"/>
      <c r="B19" s="167">
        <v>7</v>
      </c>
      <c r="C19" s="170" t="s">
        <v>499</v>
      </c>
      <c r="D19" s="109" t="s">
        <v>341</v>
      </c>
      <c r="E19" s="204"/>
      <c r="F19" s="105" t="s">
        <v>150</v>
      </c>
      <c r="G19" s="184"/>
      <c r="H19" s="179"/>
      <c r="I19" s="179"/>
      <c r="J19" s="179"/>
    </row>
    <row r="20" spans="1:10" ht="46.5" customHeight="1">
      <c r="A20" s="179"/>
      <c r="B20" s="167">
        <v>8</v>
      </c>
      <c r="C20" s="170" t="s">
        <v>339</v>
      </c>
      <c r="D20" s="109" t="s">
        <v>340</v>
      </c>
      <c r="E20" s="204"/>
      <c r="F20" s="105" t="s">
        <v>150</v>
      </c>
      <c r="G20" s="184"/>
      <c r="H20" s="179"/>
      <c r="I20" s="179"/>
      <c r="J20" s="179"/>
    </row>
    <row r="21" spans="1:10" ht="46.5" customHeight="1">
      <c r="A21" s="179"/>
      <c r="B21" s="167">
        <v>9</v>
      </c>
      <c r="C21" s="170" t="s">
        <v>149</v>
      </c>
      <c r="D21" s="109" t="s">
        <v>342</v>
      </c>
      <c r="E21" s="252">
        <f>E19-E20</f>
        <v>0</v>
      </c>
      <c r="F21" s="105" t="s">
        <v>150</v>
      </c>
      <c r="G21" s="184"/>
      <c r="H21" s="179"/>
      <c r="I21" s="179"/>
      <c r="J21" s="179"/>
    </row>
    <row r="22" spans="1:10" ht="16.5" customHeight="1">
      <c r="A22" s="179"/>
      <c r="B22" s="184"/>
      <c r="C22" s="180"/>
      <c r="D22" s="181"/>
      <c r="E22" s="184"/>
      <c r="F22" s="184"/>
      <c r="G22" s="184"/>
      <c r="H22" s="179"/>
      <c r="I22" s="179"/>
      <c r="J22" s="179"/>
    </row>
    <row r="23" spans="1:10" ht="12.75">
      <c r="A23" s="179"/>
      <c r="B23" s="550" t="s">
        <v>151</v>
      </c>
      <c r="C23" s="550"/>
      <c r="D23" s="550"/>
      <c r="E23" s="550"/>
      <c r="F23" s="550"/>
      <c r="G23" s="184"/>
      <c r="H23" s="179"/>
      <c r="I23" s="179"/>
      <c r="J23" s="179"/>
    </row>
    <row r="24" spans="1:10" ht="16.5" customHeight="1">
      <c r="A24" s="179"/>
      <c r="B24" s="551">
        <v>10</v>
      </c>
      <c r="C24" s="549" t="s">
        <v>209</v>
      </c>
      <c r="D24" s="187" t="s">
        <v>153</v>
      </c>
      <c r="E24" s="171"/>
      <c r="F24" s="188" t="s">
        <v>150</v>
      </c>
      <c r="G24" s="184"/>
      <c r="H24" s="179"/>
      <c r="I24" s="179"/>
      <c r="J24" s="179"/>
    </row>
    <row r="25" spans="1:10" ht="12.75">
      <c r="A25" s="179"/>
      <c r="B25" s="551"/>
      <c r="C25" s="549"/>
      <c r="D25" s="187" t="s">
        <v>154</v>
      </c>
      <c r="E25" s="171"/>
      <c r="F25" s="188" t="s">
        <v>150</v>
      </c>
      <c r="G25" s="184"/>
      <c r="H25" s="179"/>
      <c r="I25" s="179"/>
      <c r="J25" s="179"/>
    </row>
    <row r="26" spans="1:10" ht="15.75">
      <c r="A26" s="179"/>
      <c r="B26" s="551"/>
      <c r="C26" s="549"/>
      <c r="D26" s="187" t="s">
        <v>256</v>
      </c>
      <c r="E26" s="242">
        <f>+E24*E25</f>
        <v>0</v>
      </c>
      <c r="F26" s="188" t="s">
        <v>141</v>
      </c>
      <c r="G26" s="184"/>
      <c r="H26" s="179"/>
      <c r="I26" s="179"/>
      <c r="J26" s="179"/>
    </row>
    <row r="27" spans="1:10" ht="30" customHeight="1">
      <c r="A27" s="179"/>
      <c r="B27" s="189">
        <v>11</v>
      </c>
      <c r="C27" s="186" t="s">
        <v>263</v>
      </c>
      <c r="D27" s="187" t="s">
        <v>258</v>
      </c>
      <c r="E27" s="171"/>
      <c r="F27" s="188" t="s">
        <v>150</v>
      </c>
      <c r="G27" s="184"/>
      <c r="H27" s="179"/>
      <c r="I27" s="179"/>
      <c r="J27" s="179"/>
    </row>
    <row r="28" spans="1:10" ht="30" customHeight="1">
      <c r="A28" s="179"/>
      <c r="B28" s="189">
        <v>12</v>
      </c>
      <c r="C28" s="186" t="s">
        <v>353</v>
      </c>
      <c r="D28" s="187" t="s">
        <v>260</v>
      </c>
      <c r="E28" s="169"/>
      <c r="F28" s="413" t="s">
        <v>143</v>
      </c>
      <c r="G28" s="184"/>
      <c r="H28" s="179"/>
      <c r="I28" s="179"/>
      <c r="J28" s="179"/>
    </row>
    <row r="29" spans="1:10" ht="30" customHeight="1">
      <c r="A29" s="179"/>
      <c r="B29" s="189">
        <v>13</v>
      </c>
      <c r="C29" s="186" t="s">
        <v>264</v>
      </c>
      <c r="D29" s="187" t="s">
        <v>261</v>
      </c>
      <c r="E29" s="242">
        <f>E26*E27*E28</f>
        <v>0</v>
      </c>
      <c r="F29" s="188" t="s">
        <v>54</v>
      </c>
      <c r="G29" s="184"/>
      <c r="H29" s="179"/>
      <c r="I29" s="179"/>
      <c r="J29" s="179"/>
    </row>
    <row r="30" spans="1:10" ht="12.75">
      <c r="A30" s="179"/>
      <c r="B30" s="184"/>
      <c r="C30" s="180"/>
      <c r="D30" s="181"/>
      <c r="E30" s="184"/>
      <c r="F30" s="184"/>
      <c r="G30" s="184"/>
      <c r="H30" s="179"/>
      <c r="I30" s="179"/>
      <c r="J30" s="179"/>
    </row>
    <row r="31" spans="1:10" ht="12.75">
      <c r="A31" s="179"/>
      <c r="B31" s="550" t="s">
        <v>157</v>
      </c>
      <c r="C31" s="550"/>
      <c r="D31" s="550"/>
      <c r="E31" s="550"/>
      <c r="F31" s="550"/>
      <c r="G31" s="184"/>
      <c r="H31" s="179"/>
      <c r="I31" s="179"/>
      <c r="J31" s="179"/>
    </row>
    <row r="32" spans="1:10" ht="15.75">
      <c r="A32" s="179"/>
      <c r="B32" s="189">
        <v>14</v>
      </c>
      <c r="C32" s="186" t="s">
        <v>311</v>
      </c>
      <c r="D32" s="187" t="s">
        <v>254</v>
      </c>
      <c r="E32" s="242">
        <f>E13</f>
        <v>0</v>
      </c>
      <c r="F32" s="188" t="s">
        <v>54</v>
      </c>
      <c r="G32" s="184"/>
      <c r="H32" s="179"/>
      <c r="I32" s="179"/>
      <c r="J32" s="179"/>
    </row>
    <row r="33" spans="1:10" ht="15.75">
      <c r="A33" s="179"/>
      <c r="B33" s="189">
        <v>15</v>
      </c>
      <c r="C33" s="186" t="s">
        <v>262</v>
      </c>
      <c r="D33" s="187" t="s">
        <v>229</v>
      </c>
      <c r="E33" s="242">
        <f>E29</f>
        <v>0</v>
      </c>
      <c r="F33" s="188" t="s">
        <v>54</v>
      </c>
      <c r="G33" s="184"/>
      <c r="H33" s="179"/>
      <c r="I33" s="179"/>
      <c r="J33" s="179"/>
    </row>
    <row r="34" spans="1:10" ht="15.75">
      <c r="A34" s="179"/>
      <c r="B34" s="189">
        <v>16</v>
      </c>
      <c r="C34" s="170" t="s">
        <v>230</v>
      </c>
      <c r="D34" s="110" t="s">
        <v>231</v>
      </c>
      <c r="E34" s="242">
        <f>MIN(E32:E33)</f>
        <v>0</v>
      </c>
      <c r="F34" s="188" t="s">
        <v>54</v>
      </c>
      <c r="G34" s="184"/>
      <c r="H34" s="179"/>
      <c r="I34" s="179"/>
      <c r="J34" s="179"/>
    </row>
    <row r="35" spans="1:10" ht="12.75">
      <c r="A35" s="179"/>
      <c r="B35" s="180"/>
      <c r="C35" s="179"/>
      <c r="D35" s="181"/>
      <c r="E35" s="179"/>
      <c r="F35" s="179"/>
      <c r="G35" s="179"/>
      <c r="H35" s="179"/>
      <c r="I35" s="179"/>
      <c r="J35" s="179"/>
    </row>
    <row r="36" spans="1:10" ht="12.75">
      <c r="A36" s="179"/>
      <c r="B36" s="180"/>
      <c r="C36" s="179"/>
      <c r="D36" s="181"/>
      <c r="E36" s="179"/>
      <c r="F36" s="179"/>
      <c r="G36" s="179"/>
      <c r="H36" s="179"/>
      <c r="I36" s="179"/>
      <c r="J36" s="179"/>
    </row>
    <row r="37" spans="1:10" ht="12.75">
      <c r="A37" s="179"/>
      <c r="B37" s="180"/>
      <c r="C37" s="179"/>
      <c r="D37" s="181"/>
      <c r="E37" s="179"/>
      <c r="F37" s="179"/>
      <c r="G37" s="179"/>
      <c r="H37" s="179"/>
      <c r="I37" s="179"/>
      <c r="J37" s="179"/>
    </row>
    <row r="38" spans="1:10" ht="12.75">
      <c r="A38" s="179"/>
      <c r="B38" s="180"/>
      <c r="C38" s="179"/>
      <c r="D38" s="181"/>
      <c r="E38" s="179"/>
      <c r="F38" s="179"/>
      <c r="G38" s="179"/>
      <c r="H38" s="179"/>
      <c r="I38" s="179"/>
      <c r="J38" s="179"/>
    </row>
    <row r="39" spans="1:10" ht="12.75">
      <c r="A39" s="179"/>
      <c r="B39" s="180"/>
      <c r="C39" s="179"/>
      <c r="D39" s="181"/>
      <c r="E39" s="179"/>
      <c r="F39" s="179"/>
      <c r="G39" s="179"/>
      <c r="H39" s="179"/>
      <c r="I39" s="179"/>
      <c r="J39" s="179"/>
    </row>
    <row r="40" spans="1:10" ht="12.75">
      <c r="A40" s="179"/>
      <c r="B40" s="180"/>
      <c r="C40" s="179"/>
      <c r="D40" s="181"/>
      <c r="E40" s="179"/>
      <c r="F40" s="179"/>
      <c r="G40" s="179"/>
      <c r="H40" s="179"/>
      <c r="I40" s="179"/>
      <c r="J40" s="179"/>
    </row>
    <row r="41" spans="1:10" ht="12.75">
      <c r="A41" s="179"/>
      <c r="B41" s="180"/>
      <c r="C41" s="179"/>
      <c r="D41" s="181"/>
      <c r="E41" s="179"/>
      <c r="F41" s="179"/>
      <c r="G41" s="179"/>
      <c r="H41" s="179"/>
      <c r="I41" s="179"/>
      <c r="J41" s="179"/>
    </row>
  </sheetData>
  <sheetProtection/>
  <mergeCells count="7">
    <mergeCell ref="C24:C26"/>
    <mergeCell ref="B31:F31"/>
    <mergeCell ref="B24:B26"/>
    <mergeCell ref="B10:F10"/>
    <mergeCell ref="B23:F23"/>
    <mergeCell ref="B16:F16"/>
    <mergeCell ref="D14:F14"/>
  </mergeCells>
  <printOptions/>
  <pageMargins left="0.75" right="0.75" top="1" bottom="1" header="0.5" footer="0.5"/>
  <pageSetup fitToHeight="1" fitToWidth="1" horizontalDpi="600" verticalDpi="600" orientation="portrait" scale="84" r:id="rId3"/>
  <headerFooter alignWithMargins="0">
    <oddFooter>&amp;L&amp;8City of Chicago
Dept. of Water Management&amp;C&amp;8Permit Application
Permeable Pavement Worksheet&amp;R&amp;8&amp;A
Page &amp;P</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E11" sqref="E11"/>
    </sheetView>
  </sheetViews>
  <sheetFormatPr defaultColWidth="9.140625" defaultRowHeight="12.75"/>
  <cols>
    <col min="1" max="1" width="15.421875" style="0" customWidth="1"/>
    <col min="2" max="2" width="6.140625" style="172" customWidth="1"/>
    <col min="3" max="3" width="39.28125" style="0" customWidth="1"/>
    <col min="4" max="4" width="13.710937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8" ht="15.75">
      <c r="B8" s="161" t="s">
        <v>312</v>
      </c>
    </row>
    <row r="9" spans="1:8" ht="12.75">
      <c r="A9" s="172"/>
      <c r="C9" s="172"/>
      <c r="D9" s="178"/>
      <c r="E9" s="172"/>
      <c r="F9" s="172"/>
      <c r="G9" s="172"/>
      <c r="H9" s="172"/>
    </row>
    <row r="10" spans="1:8" ht="12.75">
      <c r="A10" s="172"/>
      <c r="B10" s="541" t="s">
        <v>139</v>
      </c>
      <c r="C10" s="541"/>
      <c r="D10" s="541"/>
      <c r="E10" s="541"/>
      <c r="F10" s="541"/>
      <c r="G10" s="172"/>
      <c r="H10" s="172"/>
    </row>
    <row r="11" spans="1:8" ht="15.75">
      <c r="A11" s="172"/>
      <c r="B11" s="167">
        <v>1</v>
      </c>
      <c r="C11" s="165" t="s">
        <v>409</v>
      </c>
      <c r="D11" s="110" t="s">
        <v>337</v>
      </c>
      <c r="E11" s="201"/>
      <c r="F11" s="168" t="s">
        <v>141</v>
      </c>
      <c r="G11" s="172"/>
      <c r="H11" s="172"/>
    </row>
    <row r="12" spans="1:8" ht="28.5" customHeight="1">
      <c r="A12" s="172"/>
      <c r="B12" s="167">
        <v>2</v>
      </c>
      <c r="C12" s="168" t="s">
        <v>142</v>
      </c>
      <c r="D12" s="110" t="s">
        <v>46</v>
      </c>
      <c r="E12" s="203"/>
      <c r="F12" s="202" t="s">
        <v>143</v>
      </c>
      <c r="G12" s="172"/>
      <c r="H12" s="172"/>
    </row>
    <row r="13" spans="1:8" ht="32.25" customHeight="1">
      <c r="A13" s="172"/>
      <c r="B13" s="167">
        <v>3</v>
      </c>
      <c r="C13" s="170" t="str">
        <f>IF('1.0 RATE CONTROL'!E45="Yes","Volume of upstream runoff from a 1/2-inch storm = C * At * (0.5) * 1/12","Volume of upstream runoff from a 1-inch storm = C * At * 1/12")</f>
        <v>Volume of upstream runoff from a 1-inch storm = C * At * 1/12</v>
      </c>
      <c r="D13" s="110" t="s">
        <v>220</v>
      </c>
      <c r="E13" s="251">
        <f>IF('1.0 RATE CONTROL'!E45="Yes",E12*E11*(0.5)*(1/12),E12*E11*1/12)</f>
        <v>0</v>
      </c>
      <c r="F13" s="202" t="s">
        <v>54</v>
      </c>
      <c r="G13" s="172"/>
      <c r="H13" s="172"/>
    </row>
    <row r="14" spans="1:8" ht="69" customHeight="1">
      <c r="A14" s="172"/>
      <c r="B14" s="167">
        <v>4</v>
      </c>
      <c r="C14" s="170" t="s">
        <v>314</v>
      </c>
      <c r="D14" s="532"/>
      <c r="E14" s="533"/>
      <c r="F14" s="534"/>
      <c r="G14" s="172"/>
      <c r="H14" s="172"/>
    </row>
    <row r="15" spans="1:8" ht="12.75">
      <c r="A15" s="172"/>
      <c r="C15" s="172"/>
      <c r="D15" s="178"/>
      <c r="E15" s="172"/>
      <c r="F15" s="172"/>
      <c r="G15" s="172"/>
      <c r="H15" s="172"/>
    </row>
    <row r="16" spans="1:8" ht="12.75">
      <c r="A16" s="172"/>
      <c r="B16" s="541" t="s">
        <v>146</v>
      </c>
      <c r="C16" s="541"/>
      <c r="D16" s="541"/>
      <c r="E16" s="541"/>
      <c r="F16" s="541"/>
      <c r="G16" s="172"/>
      <c r="H16" s="172"/>
    </row>
    <row r="17" spans="1:8" ht="43.5" customHeight="1">
      <c r="A17" s="172"/>
      <c r="B17" s="167">
        <v>5</v>
      </c>
      <c r="C17" s="170" t="s">
        <v>210</v>
      </c>
      <c r="D17" s="109" t="s">
        <v>147</v>
      </c>
      <c r="E17" s="204"/>
      <c r="F17" s="105" t="s">
        <v>148</v>
      </c>
      <c r="G17" s="172"/>
      <c r="H17" s="172"/>
    </row>
    <row r="18" spans="1:8" ht="43.5" customHeight="1">
      <c r="A18" s="172"/>
      <c r="B18" s="167">
        <v>6</v>
      </c>
      <c r="C18" s="170" t="s">
        <v>499</v>
      </c>
      <c r="D18" s="109" t="s">
        <v>341</v>
      </c>
      <c r="E18" s="204"/>
      <c r="F18" s="105" t="s">
        <v>150</v>
      </c>
      <c r="G18" s="172"/>
      <c r="H18" s="172"/>
    </row>
    <row r="19" spans="1:8" ht="43.5" customHeight="1">
      <c r="A19" s="172"/>
      <c r="B19" s="167">
        <v>7</v>
      </c>
      <c r="C19" s="170" t="s">
        <v>339</v>
      </c>
      <c r="D19" s="109" t="s">
        <v>340</v>
      </c>
      <c r="E19" s="204"/>
      <c r="F19" s="105" t="s">
        <v>150</v>
      </c>
      <c r="G19" s="172"/>
      <c r="H19" s="172"/>
    </row>
    <row r="20" spans="1:8" ht="38.25">
      <c r="A20" s="172"/>
      <c r="B20" s="167">
        <v>8</v>
      </c>
      <c r="C20" s="170" t="s">
        <v>149</v>
      </c>
      <c r="D20" s="109" t="s">
        <v>342</v>
      </c>
      <c r="E20" s="252">
        <f>E18-E19</f>
        <v>0</v>
      </c>
      <c r="F20" s="105" t="s">
        <v>150</v>
      </c>
      <c r="G20" s="172"/>
      <c r="H20" s="172"/>
    </row>
    <row r="21" spans="1:8" ht="16.5" customHeight="1">
      <c r="A21" s="172"/>
      <c r="C21" s="172"/>
      <c r="D21" s="178"/>
      <c r="E21" s="172"/>
      <c r="F21" s="172"/>
      <c r="G21" s="172"/>
      <c r="H21" s="172"/>
    </row>
    <row r="22" spans="1:8" ht="12.75">
      <c r="A22" s="172"/>
      <c r="B22" s="541" t="s">
        <v>151</v>
      </c>
      <c r="C22" s="541"/>
      <c r="D22" s="541"/>
      <c r="E22" s="541"/>
      <c r="F22" s="541"/>
      <c r="G22" s="172"/>
      <c r="H22" s="172"/>
    </row>
    <row r="23" spans="1:8" ht="16.5" customHeight="1">
      <c r="A23" s="172"/>
      <c r="B23" s="531">
        <v>9</v>
      </c>
      <c r="C23" s="529" t="s">
        <v>211</v>
      </c>
      <c r="D23" s="110" t="s">
        <v>153</v>
      </c>
      <c r="E23" s="205"/>
      <c r="F23" s="166" t="s">
        <v>150</v>
      </c>
      <c r="G23" s="172"/>
      <c r="H23" s="172"/>
    </row>
    <row r="24" spans="1:8" ht="16.5" customHeight="1">
      <c r="A24" s="172"/>
      <c r="B24" s="531"/>
      <c r="C24" s="529"/>
      <c r="D24" s="110" t="s">
        <v>154</v>
      </c>
      <c r="E24" s="205"/>
      <c r="F24" s="166" t="s">
        <v>150</v>
      </c>
      <c r="G24" s="172"/>
      <c r="H24" s="172"/>
    </row>
    <row r="25" spans="1:8" ht="15.75">
      <c r="A25" s="172"/>
      <c r="B25" s="531"/>
      <c r="C25" s="529"/>
      <c r="D25" s="110" t="s">
        <v>221</v>
      </c>
      <c r="E25" s="252">
        <f>+E23*E24</f>
        <v>0</v>
      </c>
      <c r="F25" s="166" t="s">
        <v>141</v>
      </c>
      <c r="G25" s="172"/>
      <c r="H25" s="172"/>
    </row>
    <row r="26" spans="1:8" ht="15.75">
      <c r="A26" s="172"/>
      <c r="B26" s="164">
        <v>10</v>
      </c>
      <c r="C26" s="170" t="s">
        <v>300</v>
      </c>
      <c r="D26" s="110" t="s">
        <v>222</v>
      </c>
      <c r="E26" s="205"/>
      <c r="F26" s="166"/>
      <c r="G26" s="172"/>
      <c r="H26" s="172"/>
    </row>
    <row r="27" spans="1:8" ht="15.75">
      <c r="A27" s="172"/>
      <c r="B27" s="164">
        <v>11</v>
      </c>
      <c r="C27" s="170" t="s">
        <v>155</v>
      </c>
      <c r="D27" s="110" t="s">
        <v>224</v>
      </c>
      <c r="E27" s="205"/>
      <c r="F27" s="166" t="s">
        <v>150</v>
      </c>
      <c r="G27" s="172"/>
      <c r="H27" s="172"/>
    </row>
    <row r="28" spans="1:8" ht="25.5">
      <c r="A28" s="231"/>
      <c r="B28" s="206">
        <v>12</v>
      </c>
      <c r="C28" s="176" t="s">
        <v>354</v>
      </c>
      <c r="D28" s="229" t="s">
        <v>225</v>
      </c>
      <c r="E28" s="205"/>
      <c r="F28" s="207" t="s">
        <v>143</v>
      </c>
      <c r="G28" s="231"/>
      <c r="H28" s="231"/>
    </row>
    <row r="29" spans="1:8" ht="31.5" customHeight="1">
      <c r="A29" s="172"/>
      <c r="B29" s="164">
        <v>13</v>
      </c>
      <c r="C29" s="170" t="s">
        <v>156</v>
      </c>
      <c r="D29" s="110" t="s">
        <v>301</v>
      </c>
      <c r="E29" s="205"/>
      <c r="F29" s="166" t="s">
        <v>150</v>
      </c>
      <c r="G29" s="172"/>
      <c r="H29" s="172"/>
    </row>
    <row r="30" spans="1:8" ht="34.5" customHeight="1">
      <c r="A30" s="172"/>
      <c r="B30" s="164">
        <v>14</v>
      </c>
      <c r="C30" s="170" t="s">
        <v>353</v>
      </c>
      <c r="D30" s="110" t="s">
        <v>380</v>
      </c>
      <c r="E30" s="205"/>
      <c r="F30" s="166" t="s">
        <v>143</v>
      </c>
      <c r="G30" s="172"/>
      <c r="H30" s="172"/>
    </row>
    <row r="31" spans="1:8" ht="31.5" customHeight="1">
      <c r="A31" s="172"/>
      <c r="B31" s="164">
        <v>15</v>
      </c>
      <c r="C31" s="176" t="s">
        <v>302</v>
      </c>
      <c r="D31" s="110" t="s">
        <v>226</v>
      </c>
      <c r="E31" s="251">
        <f>E25*E26</f>
        <v>0</v>
      </c>
      <c r="F31" s="166" t="s">
        <v>54</v>
      </c>
      <c r="G31" s="172"/>
      <c r="H31" s="172"/>
    </row>
    <row r="32" spans="1:8" ht="33.75" customHeight="1">
      <c r="A32" s="172"/>
      <c r="B32" s="164">
        <v>16</v>
      </c>
      <c r="C32" s="170" t="s">
        <v>381</v>
      </c>
      <c r="D32" s="110" t="s">
        <v>227</v>
      </c>
      <c r="E32" s="251">
        <f>E25*(E27*E28+E29*E30)</f>
        <v>0</v>
      </c>
      <c r="F32" s="166" t="s">
        <v>54</v>
      </c>
      <c r="G32" s="172"/>
      <c r="H32" s="172"/>
    </row>
    <row r="33" spans="1:8" ht="12.75">
      <c r="A33" s="172"/>
      <c r="C33" s="172"/>
      <c r="D33" s="178"/>
      <c r="E33" s="172"/>
      <c r="F33" s="172"/>
      <c r="G33" s="172"/>
      <c r="H33" s="172"/>
    </row>
    <row r="34" spans="1:8" ht="12.75">
      <c r="A34" s="172"/>
      <c r="B34" s="541" t="s">
        <v>157</v>
      </c>
      <c r="C34" s="541"/>
      <c r="D34" s="541"/>
      <c r="E34" s="541"/>
      <c r="F34" s="541"/>
      <c r="G34" s="172"/>
      <c r="H34" s="172"/>
    </row>
    <row r="35" spans="1:8" ht="15.75">
      <c r="A35" s="172"/>
      <c r="B35" s="164">
        <v>17</v>
      </c>
      <c r="C35" s="170" t="s">
        <v>310</v>
      </c>
      <c r="D35" s="109" t="s">
        <v>220</v>
      </c>
      <c r="E35" s="251">
        <f>E13</f>
        <v>0</v>
      </c>
      <c r="F35" s="166" t="s">
        <v>54</v>
      </c>
      <c r="G35" s="172"/>
      <c r="H35" s="172"/>
    </row>
    <row r="36" spans="1:8" ht="16.5" customHeight="1">
      <c r="A36" s="172"/>
      <c r="B36" s="164">
        <v>18</v>
      </c>
      <c r="C36" s="170" t="s">
        <v>228</v>
      </c>
      <c r="D36" s="110" t="s">
        <v>229</v>
      </c>
      <c r="E36" s="251">
        <f>E31+E32</f>
        <v>0</v>
      </c>
      <c r="F36" s="166" t="s">
        <v>54</v>
      </c>
      <c r="G36" s="172"/>
      <c r="H36" s="172"/>
    </row>
    <row r="37" spans="1:8" ht="15.75">
      <c r="A37" s="172"/>
      <c r="B37" s="164">
        <v>19</v>
      </c>
      <c r="C37" s="170" t="s">
        <v>230</v>
      </c>
      <c r="D37" s="110" t="s">
        <v>231</v>
      </c>
      <c r="E37" s="251">
        <f>MIN(E35:E36)</f>
        <v>0</v>
      </c>
      <c r="F37" s="166" t="s">
        <v>54</v>
      </c>
      <c r="G37" s="172"/>
      <c r="H37" s="172"/>
    </row>
    <row r="38" spans="1:8" ht="12.75">
      <c r="A38" s="172"/>
      <c r="C38" s="172"/>
      <c r="D38" s="178"/>
      <c r="E38" s="172"/>
      <c r="F38" s="172"/>
      <c r="G38" s="172"/>
      <c r="H38" s="172"/>
    </row>
    <row r="39" spans="1:8" ht="12.75">
      <c r="A39" s="172"/>
      <c r="C39" s="172"/>
      <c r="D39" s="178"/>
      <c r="E39" s="172"/>
      <c r="F39" s="172"/>
      <c r="G39" s="172"/>
      <c r="H39" s="172"/>
    </row>
    <row r="40" spans="1:8" ht="12.75">
      <c r="A40" s="172"/>
      <c r="C40" s="172"/>
      <c r="D40" s="178"/>
      <c r="E40" s="172"/>
      <c r="F40" s="172"/>
      <c r="G40" s="172"/>
      <c r="H40" s="172"/>
    </row>
    <row r="41" spans="1:8" ht="12.75">
      <c r="A41" s="172"/>
      <c r="C41" s="172"/>
      <c r="D41" s="178"/>
      <c r="E41" s="172"/>
      <c r="F41" s="172"/>
      <c r="G41" s="172"/>
      <c r="H41" s="172"/>
    </row>
    <row r="42" spans="1:8" ht="12.75">
      <c r="A42" s="172"/>
      <c r="C42" s="172"/>
      <c r="D42" s="178"/>
      <c r="E42" s="172"/>
      <c r="F42" s="172"/>
      <c r="G42" s="172"/>
      <c r="H42" s="172"/>
    </row>
    <row r="43" spans="1:8" ht="12.75">
      <c r="A43" s="172"/>
      <c r="C43" s="172"/>
      <c r="D43" s="178"/>
      <c r="E43" s="172"/>
      <c r="F43" s="172"/>
      <c r="G43" s="172"/>
      <c r="H43" s="172"/>
    </row>
  </sheetData>
  <sheetProtection/>
  <mergeCells count="7">
    <mergeCell ref="C23:C25"/>
    <mergeCell ref="B34:F34"/>
    <mergeCell ref="B23:B25"/>
    <mergeCell ref="B10:F10"/>
    <mergeCell ref="B22:F22"/>
    <mergeCell ref="B16:F16"/>
    <mergeCell ref="D14:F14"/>
  </mergeCells>
  <printOptions/>
  <pageMargins left="0.75" right="0.75" top="1" bottom="1" header="0.5" footer="0.5"/>
  <pageSetup fitToHeight="1" fitToWidth="1" horizontalDpi="600" verticalDpi="600" orientation="portrait" scale="81" r:id="rId1"/>
  <headerFooter alignWithMargins="0">
    <oddFooter>&amp;L&amp;8City of Chicago
Dept. of Water Management&amp;C&amp;8Permit Application
Roof Runoff Worksheet - Planter Boxes&amp;R&amp;8&amp;A
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E11" sqref="E11"/>
    </sheetView>
  </sheetViews>
  <sheetFormatPr defaultColWidth="9.140625" defaultRowHeight="12.75"/>
  <cols>
    <col min="1" max="1" width="15.421875" style="0" customWidth="1"/>
    <col min="2" max="2" width="6.140625" style="172" customWidth="1"/>
    <col min="3" max="3" width="37.7109375" style="0" customWidth="1"/>
    <col min="4" max="4" width="24.14062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8" ht="15.75">
      <c r="B8" s="161" t="s">
        <v>332</v>
      </c>
    </row>
    <row r="9" spans="1:8" ht="12.75">
      <c r="A9" s="172"/>
      <c r="C9" s="172"/>
      <c r="D9" s="178"/>
      <c r="E9" s="172"/>
      <c r="F9" s="172"/>
      <c r="G9" s="172"/>
      <c r="H9" s="172"/>
    </row>
    <row r="10" spans="1:8" ht="12.75">
      <c r="A10" s="172"/>
      <c r="B10" s="541" t="s">
        <v>139</v>
      </c>
      <c r="C10" s="541"/>
      <c r="D10" s="541"/>
      <c r="E10" s="541"/>
      <c r="F10" s="541"/>
      <c r="G10" s="172"/>
      <c r="H10" s="172"/>
    </row>
    <row r="11" spans="1:8" ht="15.75">
      <c r="A11" s="172"/>
      <c r="B11" s="167">
        <v>1</v>
      </c>
      <c r="C11" s="165" t="s">
        <v>140</v>
      </c>
      <c r="D11" s="110" t="s">
        <v>219</v>
      </c>
      <c r="E11" s="201"/>
      <c r="F11" s="202" t="s">
        <v>141</v>
      </c>
      <c r="G11" s="172"/>
      <c r="H11" s="172"/>
    </row>
    <row r="12" spans="1:8" ht="28.5" customHeight="1">
      <c r="A12" s="172"/>
      <c r="B12" s="167">
        <v>2</v>
      </c>
      <c r="C12" s="168" t="s">
        <v>184</v>
      </c>
      <c r="D12" s="110" t="s">
        <v>46</v>
      </c>
      <c r="E12" s="203"/>
      <c r="F12" s="202" t="s">
        <v>143</v>
      </c>
      <c r="G12" s="172"/>
      <c r="H12" s="172"/>
    </row>
    <row r="13" spans="1:8" ht="32.25" customHeight="1">
      <c r="A13" s="172"/>
      <c r="B13" s="167">
        <v>3</v>
      </c>
      <c r="C13" s="170" t="str">
        <f>IF('1.0 RATE CONTROL'!E45="Yes","Volume of upstream runoff from a 1/2-inch storm = C * At * (0.5) * 1/12","Volume of upstream runoff from a 1-inch storm = C * At * 1/12")</f>
        <v>Volume of upstream runoff from a 1-inch storm = C * At * 1/12</v>
      </c>
      <c r="D13" s="109" t="s">
        <v>220</v>
      </c>
      <c r="E13" s="251">
        <f>IF('1.0 RATE CONTROL'!E45="Yes",E12*E11*(0.5)*(1/12),E12*E11*1/12)</f>
        <v>0</v>
      </c>
      <c r="F13" s="202" t="s">
        <v>54</v>
      </c>
      <c r="G13" s="172"/>
      <c r="H13" s="172"/>
    </row>
    <row r="14" spans="1:8" ht="69" customHeight="1">
      <c r="A14" s="172"/>
      <c r="B14" s="167">
        <v>4</v>
      </c>
      <c r="C14" s="170" t="s">
        <v>313</v>
      </c>
      <c r="D14" s="532"/>
      <c r="E14" s="533"/>
      <c r="F14" s="534"/>
      <c r="G14" s="172"/>
      <c r="H14" s="172"/>
    </row>
    <row r="15" spans="1:8" ht="12.75">
      <c r="A15" s="172"/>
      <c r="C15" s="172"/>
      <c r="D15" s="178"/>
      <c r="E15" s="172"/>
      <c r="F15" s="172"/>
      <c r="G15" s="172"/>
      <c r="H15" s="172"/>
    </row>
    <row r="16" spans="1:8" ht="12.75">
      <c r="A16" s="172"/>
      <c r="B16" s="541" t="s">
        <v>181</v>
      </c>
      <c r="C16" s="541"/>
      <c r="D16" s="541"/>
      <c r="E16" s="541"/>
      <c r="F16" s="541"/>
      <c r="G16" s="172"/>
      <c r="H16" s="172"/>
    </row>
    <row r="17" spans="1:8" ht="12.75">
      <c r="A17" s="172"/>
      <c r="B17" s="557">
        <v>5</v>
      </c>
      <c r="C17" s="558" t="s">
        <v>319</v>
      </c>
      <c r="D17" s="110" t="s">
        <v>315</v>
      </c>
      <c r="E17" s="225" t="s">
        <v>316</v>
      </c>
      <c r="F17" s="207"/>
      <c r="G17" s="172"/>
      <c r="H17" s="172"/>
    </row>
    <row r="18" spans="1:8" ht="12.75">
      <c r="A18" s="172"/>
      <c r="B18" s="557"/>
      <c r="C18" s="558"/>
      <c r="D18" s="110"/>
      <c r="E18" s="205"/>
      <c r="F18" s="202" t="s">
        <v>54</v>
      </c>
      <c r="G18" s="172"/>
      <c r="H18" s="172"/>
    </row>
    <row r="19" spans="1:8" ht="12.75">
      <c r="A19" s="172"/>
      <c r="B19" s="557"/>
      <c r="C19" s="558"/>
      <c r="D19" s="110"/>
      <c r="E19" s="205"/>
      <c r="F19" s="202" t="s">
        <v>54</v>
      </c>
      <c r="G19" s="172"/>
      <c r="H19" s="172"/>
    </row>
    <row r="20" spans="1:8" ht="12.75">
      <c r="A20" s="172"/>
      <c r="B20" s="557"/>
      <c r="C20" s="558"/>
      <c r="D20" s="110"/>
      <c r="E20" s="205"/>
      <c r="F20" s="202" t="s">
        <v>54</v>
      </c>
      <c r="G20" s="172"/>
      <c r="H20" s="172"/>
    </row>
    <row r="21" spans="1:8" ht="12.75">
      <c r="A21" s="172"/>
      <c r="B21" s="557"/>
      <c r="C21" s="558"/>
      <c r="D21" s="110"/>
      <c r="E21" s="205"/>
      <c r="F21" s="202" t="s">
        <v>54</v>
      </c>
      <c r="G21" s="172"/>
      <c r="H21" s="172"/>
    </row>
    <row r="22" spans="1:8" ht="15.75">
      <c r="A22" s="172"/>
      <c r="B22" s="206">
        <v>6</v>
      </c>
      <c r="C22" s="176" t="s">
        <v>317</v>
      </c>
      <c r="D22" s="110" t="s">
        <v>318</v>
      </c>
      <c r="E22" s="252">
        <f>SUM(E18:E21)</f>
        <v>0</v>
      </c>
      <c r="F22" s="202" t="s">
        <v>54</v>
      </c>
      <c r="G22" s="172"/>
      <c r="H22" s="172"/>
    </row>
    <row r="23" spans="1:8" ht="12.75">
      <c r="A23" s="172"/>
      <c r="B23" s="557">
        <v>7</v>
      </c>
      <c r="C23" s="558" t="s">
        <v>320</v>
      </c>
      <c r="D23" s="110" t="s">
        <v>315</v>
      </c>
      <c r="E23" s="225" t="s">
        <v>316</v>
      </c>
      <c r="F23" s="207"/>
      <c r="G23" s="172"/>
      <c r="H23" s="172"/>
    </row>
    <row r="24" spans="1:8" ht="12.75">
      <c r="A24" s="172"/>
      <c r="B24" s="557"/>
      <c r="C24" s="558"/>
      <c r="D24" s="110"/>
      <c r="E24" s="205"/>
      <c r="F24" s="202" t="s">
        <v>54</v>
      </c>
      <c r="G24" s="172"/>
      <c r="H24" s="172"/>
    </row>
    <row r="25" spans="1:8" ht="12.75">
      <c r="A25" s="172"/>
      <c r="B25" s="557"/>
      <c r="C25" s="558"/>
      <c r="D25" s="110"/>
      <c r="E25" s="205"/>
      <c r="F25" s="202" t="s">
        <v>54</v>
      </c>
      <c r="G25" s="172"/>
      <c r="H25" s="172"/>
    </row>
    <row r="26" spans="1:8" ht="12.75">
      <c r="A26" s="172"/>
      <c r="B26" s="557"/>
      <c r="C26" s="558"/>
      <c r="D26" s="110"/>
      <c r="E26" s="205"/>
      <c r="F26" s="202" t="s">
        <v>54</v>
      </c>
      <c r="G26" s="172"/>
      <c r="H26" s="172"/>
    </row>
    <row r="27" spans="1:8" ht="12.75">
      <c r="A27" s="172"/>
      <c r="B27" s="557"/>
      <c r="C27" s="558"/>
      <c r="D27" s="110"/>
      <c r="E27" s="205"/>
      <c r="F27" s="202" t="s">
        <v>54</v>
      </c>
      <c r="G27" s="172"/>
      <c r="H27" s="172"/>
    </row>
    <row r="28" spans="1:8" ht="15.75">
      <c r="A28" s="172"/>
      <c r="B28" s="206">
        <v>8</v>
      </c>
      <c r="C28" s="176" t="s">
        <v>317</v>
      </c>
      <c r="D28" s="110" t="s">
        <v>265</v>
      </c>
      <c r="E28" s="252">
        <f>SUM(E24:E27)</f>
        <v>0</v>
      </c>
      <c r="F28" s="202" t="s">
        <v>54</v>
      </c>
      <c r="G28" s="172"/>
      <c r="H28" s="172"/>
    </row>
    <row r="29" spans="1:8" ht="33.75" customHeight="1">
      <c r="A29" s="172"/>
      <c r="B29" s="206">
        <v>9</v>
      </c>
      <c r="C29" s="176" t="s">
        <v>212</v>
      </c>
      <c r="D29" s="110" t="s">
        <v>321</v>
      </c>
      <c r="E29" s="252">
        <f>+E22+E28</f>
        <v>0</v>
      </c>
      <c r="F29" s="207" t="s">
        <v>54</v>
      </c>
      <c r="G29" s="172"/>
      <c r="H29" s="172"/>
    </row>
    <row r="30" spans="1:8" ht="12.75">
      <c r="A30" s="172"/>
      <c r="C30" s="172"/>
      <c r="D30" s="178"/>
      <c r="E30" s="172"/>
      <c r="F30" s="172"/>
      <c r="G30" s="172"/>
      <c r="H30" s="172"/>
    </row>
    <row r="31" spans="1:8" ht="12.75">
      <c r="A31" s="172"/>
      <c r="B31" s="541" t="s">
        <v>157</v>
      </c>
      <c r="C31" s="541"/>
      <c r="D31" s="541"/>
      <c r="E31" s="541"/>
      <c r="F31" s="541"/>
      <c r="G31" s="172"/>
      <c r="H31" s="172"/>
    </row>
    <row r="32" spans="1:8" ht="15.75">
      <c r="A32" s="172"/>
      <c r="B32" s="164">
        <v>10</v>
      </c>
      <c r="C32" s="170" t="s">
        <v>311</v>
      </c>
      <c r="D32" s="109" t="s">
        <v>220</v>
      </c>
      <c r="E32" s="251">
        <f>+E13</f>
        <v>0</v>
      </c>
      <c r="F32" s="166" t="s">
        <v>54</v>
      </c>
      <c r="G32" s="172"/>
      <c r="H32" s="172"/>
    </row>
    <row r="33" spans="1:8" ht="16.5" customHeight="1">
      <c r="A33" s="172"/>
      <c r="B33" s="164">
        <v>11</v>
      </c>
      <c r="C33" s="170" t="s">
        <v>322</v>
      </c>
      <c r="D33" s="110" t="s">
        <v>229</v>
      </c>
      <c r="E33" s="251">
        <f>+E29</f>
        <v>0</v>
      </c>
      <c r="F33" s="166" t="s">
        <v>54</v>
      </c>
      <c r="G33" s="172"/>
      <c r="H33" s="172"/>
    </row>
    <row r="34" spans="1:8" ht="15.75">
      <c r="A34" s="172"/>
      <c r="B34" s="164">
        <v>12</v>
      </c>
      <c r="C34" s="170" t="s">
        <v>230</v>
      </c>
      <c r="D34" s="110" t="s">
        <v>231</v>
      </c>
      <c r="E34" s="251">
        <f>MIN(E32:E33)</f>
        <v>0</v>
      </c>
      <c r="F34" s="166" t="s">
        <v>54</v>
      </c>
      <c r="G34" s="172"/>
      <c r="H34" s="172"/>
    </row>
    <row r="35" spans="1:8" ht="12.75">
      <c r="A35" s="172"/>
      <c r="C35" s="172"/>
      <c r="D35" s="178"/>
      <c r="E35" s="172"/>
      <c r="F35" s="172"/>
      <c r="G35" s="172"/>
      <c r="H35" s="172"/>
    </row>
    <row r="36" spans="1:8" ht="12.75">
      <c r="A36" s="172"/>
      <c r="C36" s="172"/>
      <c r="D36" s="178"/>
      <c r="E36" s="172"/>
      <c r="F36" s="172"/>
      <c r="G36" s="172"/>
      <c r="H36" s="172"/>
    </row>
    <row r="37" spans="1:8" ht="12.75">
      <c r="A37" s="172"/>
      <c r="C37" s="172"/>
      <c r="D37" s="178"/>
      <c r="E37" s="172"/>
      <c r="F37" s="172"/>
      <c r="G37" s="172"/>
      <c r="H37" s="172"/>
    </row>
    <row r="38" spans="1:8" ht="12.75">
      <c r="A38" s="172"/>
      <c r="C38" s="172"/>
      <c r="D38" s="178"/>
      <c r="E38" s="172"/>
      <c r="F38" s="172"/>
      <c r="G38" s="172"/>
      <c r="H38" s="172"/>
    </row>
    <row r="39" spans="1:8" ht="12.75">
      <c r="A39" s="172"/>
      <c r="C39" s="172"/>
      <c r="D39" s="178"/>
      <c r="E39" s="172"/>
      <c r="F39" s="172"/>
      <c r="G39" s="172"/>
      <c r="H39" s="172"/>
    </row>
    <row r="40" spans="1:8" ht="12.75">
      <c r="A40" s="172"/>
      <c r="C40" s="172"/>
      <c r="D40" s="178"/>
      <c r="E40" s="172"/>
      <c r="F40" s="172"/>
      <c r="G40" s="172"/>
      <c r="H40" s="172"/>
    </row>
  </sheetData>
  <sheetProtection/>
  <mergeCells count="8">
    <mergeCell ref="B23:B27"/>
    <mergeCell ref="C23:C27"/>
    <mergeCell ref="B31:F31"/>
    <mergeCell ref="B10:F10"/>
    <mergeCell ref="B16:F16"/>
    <mergeCell ref="D14:F14"/>
    <mergeCell ref="C17:C21"/>
    <mergeCell ref="B17:B21"/>
  </mergeCells>
  <printOptions/>
  <pageMargins left="0.75" right="0.75" top="1" bottom="1" header="0.5" footer="0.5"/>
  <pageSetup fitToHeight="1" fitToWidth="1" horizontalDpi="600" verticalDpi="600" orientation="portrait" scale="83" r:id="rId1"/>
  <headerFooter alignWithMargins="0">
    <oddFooter>&amp;L&amp;8City of Chicago
Dept. of Water Management&amp;C&amp;8Permit Application
Roof Runoff Worksheet - Rain Barrels&amp;R&amp;8&amp;A
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E11" sqref="E11"/>
    </sheetView>
  </sheetViews>
  <sheetFormatPr defaultColWidth="9.140625" defaultRowHeight="12.75"/>
  <cols>
    <col min="1" max="1" width="14.8515625" style="0" customWidth="1"/>
    <col min="2" max="2" width="6.140625" style="172" customWidth="1"/>
    <col min="3" max="3" width="37.7109375" style="0" customWidth="1"/>
    <col min="4" max="4" width="16.5742187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7" ht="12.75"/>
    <row r="8" ht="15.75">
      <c r="B8" s="161" t="s">
        <v>290</v>
      </c>
    </row>
    <row r="9" ht="12.75"/>
    <row r="10" spans="2:6" ht="12.75">
      <c r="B10" s="530" t="s">
        <v>139</v>
      </c>
      <c r="C10" s="530"/>
      <c r="D10" s="530"/>
      <c r="E10" s="530"/>
      <c r="F10" s="530"/>
    </row>
    <row r="11" spans="2:6" ht="15.75">
      <c r="B11" s="164">
        <v>1</v>
      </c>
      <c r="C11" s="165" t="s">
        <v>140</v>
      </c>
      <c r="D11" s="110" t="s">
        <v>219</v>
      </c>
      <c r="E11" s="201"/>
      <c r="F11" s="166" t="s">
        <v>141</v>
      </c>
    </row>
    <row r="12" spans="2:6" ht="25.5">
      <c r="B12" s="167">
        <v>2</v>
      </c>
      <c r="C12" s="170" t="str">
        <f>IF('1.0 RATE CONTROL'!E44="Yes","Volume of upstream runoff from a 1/2-inch storm = 0.95 * Ai * (0.5) * 1/12","Volume of upstream runoff from a 1-inch storm = 0.95 * Ai * 1/12")</f>
        <v>Volume of upstream runoff from a 1-inch storm = 0.95 * Ai * 1/12</v>
      </c>
      <c r="D12" s="110" t="s">
        <v>220</v>
      </c>
      <c r="E12" s="251">
        <f>IF('1.0 RATE CONTROL'!E45="Yes",0.95*E11*(0.5)*(1/12),0.95*E11*1/12)</f>
        <v>0</v>
      </c>
      <c r="F12" s="103" t="s">
        <v>54</v>
      </c>
    </row>
    <row r="13" spans="2:6" ht="36" customHeight="1">
      <c r="B13" s="164">
        <v>3</v>
      </c>
      <c r="C13" s="170" t="s">
        <v>144</v>
      </c>
      <c r="D13" s="532"/>
      <c r="E13" s="533"/>
      <c r="F13" s="534"/>
    </row>
    <row r="14" spans="2:6" ht="12.75">
      <c r="B14" s="163"/>
      <c r="C14" s="163"/>
      <c r="E14" s="163"/>
      <c r="F14" s="163"/>
    </row>
    <row r="15" spans="2:6" ht="12.75">
      <c r="B15" s="530" t="s">
        <v>146</v>
      </c>
      <c r="C15" s="530"/>
      <c r="D15" s="530"/>
      <c r="E15" s="530"/>
      <c r="F15" s="530"/>
    </row>
    <row r="16" spans="2:6" ht="15.75">
      <c r="B16" s="167">
        <v>4</v>
      </c>
      <c r="C16" s="170" t="s">
        <v>343</v>
      </c>
      <c r="D16" s="109" t="s">
        <v>341</v>
      </c>
      <c r="E16" s="204"/>
      <c r="F16" s="105" t="s">
        <v>150</v>
      </c>
    </row>
    <row r="17" spans="2:6" ht="15.75">
      <c r="B17" s="167">
        <v>5</v>
      </c>
      <c r="C17" s="170" t="s">
        <v>339</v>
      </c>
      <c r="D17" s="109" t="s">
        <v>340</v>
      </c>
      <c r="E17" s="204"/>
      <c r="F17" s="105" t="s">
        <v>150</v>
      </c>
    </row>
    <row r="18" spans="2:6" ht="45.75" customHeight="1">
      <c r="B18" s="167">
        <v>6</v>
      </c>
      <c r="C18" s="170" t="s">
        <v>149</v>
      </c>
      <c r="D18" s="109" t="s">
        <v>342</v>
      </c>
      <c r="E18" s="252">
        <f>E16-E17</f>
        <v>0</v>
      </c>
      <c r="F18" s="105" t="s">
        <v>150</v>
      </c>
    </row>
    <row r="19" spans="2:6" ht="28.5" customHeight="1">
      <c r="B19" s="163"/>
      <c r="C19" s="172"/>
      <c r="E19" s="163"/>
      <c r="F19" s="163"/>
    </row>
    <row r="20" spans="2:6" ht="12.75">
      <c r="B20" s="530" t="s">
        <v>151</v>
      </c>
      <c r="C20" s="530"/>
      <c r="D20" s="530"/>
      <c r="E20" s="530"/>
      <c r="F20" s="530"/>
    </row>
    <row r="21" spans="2:6" ht="16.5" customHeight="1">
      <c r="B21" s="538">
        <v>7</v>
      </c>
      <c r="C21" s="559" t="s">
        <v>213</v>
      </c>
      <c r="D21" s="110" t="s">
        <v>153</v>
      </c>
      <c r="E21" s="201"/>
      <c r="F21" s="166" t="s">
        <v>150</v>
      </c>
    </row>
    <row r="22" spans="2:6" ht="16.5" customHeight="1">
      <c r="B22" s="539"/>
      <c r="C22" s="560"/>
      <c r="D22" s="110" t="s">
        <v>154</v>
      </c>
      <c r="E22" s="201"/>
      <c r="F22" s="166" t="s">
        <v>150</v>
      </c>
    </row>
    <row r="23" spans="2:6" ht="12.75">
      <c r="B23" s="540"/>
      <c r="C23" s="561"/>
      <c r="D23" s="110" t="s">
        <v>214</v>
      </c>
      <c r="E23" s="203"/>
      <c r="F23" s="166" t="s">
        <v>164</v>
      </c>
    </row>
    <row r="24" spans="2:6" ht="78.75">
      <c r="B24" s="164">
        <v>8</v>
      </c>
      <c r="C24" s="170" t="s">
        <v>266</v>
      </c>
      <c r="D24" s="110" t="s">
        <v>215</v>
      </c>
      <c r="E24" s="258" t="e">
        <f>E11/E22</f>
        <v>#DIV/0!</v>
      </c>
      <c r="F24" s="166" t="s">
        <v>150</v>
      </c>
    </row>
    <row r="25" spans="2:6" ht="69" customHeight="1">
      <c r="B25" s="164">
        <v>9</v>
      </c>
      <c r="C25" s="170" t="s">
        <v>216</v>
      </c>
      <c r="D25" s="109" t="s">
        <v>217</v>
      </c>
      <c r="E25" s="258">
        <f>E21*E22</f>
        <v>0</v>
      </c>
      <c r="F25" s="166" t="s">
        <v>141</v>
      </c>
    </row>
    <row r="26" spans="2:6" ht="12.75">
      <c r="B26" s="163"/>
      <c r="C26" s="172"/>
      <c r="E26" s="163"/>
      <c r="F26" s="163"/>
    </row>
    <row r="27" spans="2:6" ht="12.75">
      <c r="B27" s="530" t="s">
        <v>157</v>
      </c>
      <c r="C27" s="530"/>
      <c r="D27" s="530"/>
      <c r="E27" s="530"/>
      <c r="F27" s="530"/>
    </row>
    <row r="28" spans="2:6" ht="25.5">
      <c r="B28" s="164">
        <v>10</v>
      </c>
      <c r="C28" s="170" t="s">
        <v>323</v>
      </c>
      <c r="D28" s="110" t="s">
        <v>220</v>
      </c>
      <c r="E28" s="242">
        <f>+E12</f>
        <v>0</v>
      </c>
      <c r="F28" s="166" t="s">
        <v>54</v>
      </c>
    </row>
    <row r="29" spans="2:6" ht="32.25" customHeight="1">
      <c r="B29" s="164">
        <v>11</v>
      </c>
      <c r="C29" s="105" t="s">
        <v>218</v>
      </c>
      <c r="D29" s="110" t="s">
        <v>229</v>
      </c>
      <c r="E29" s="245">
        <f>E25*0.5/12</f>
        <v>0</v>
      </c>
      <c r="F29" s="166" t="s">
        <v>54</v>
      </c>
    </row>
    <row r="30" spans="2:6" ht="15.75">
      <c r="B30" s="164">
        <v>12</v>
      </c>
      <c r="C30" s="105" t="s">
        <v>230</v>
      </c>
      <c r="D30" s="110" t="s">
        <v>231</v>
      </c>
      <c r="E30" s="242">
        <f>MIN(E28:E29)</f>
        <v>0</v>
      </c>
      <c r="F30" s="166" t="s">
        <v>54</v>
      </c>
    </row>
  </sheetData>
  <sheetProtection/>
  <mergeCells count="7">
    <mergeCell ref="B27:F27"/>
    <mergeCell ref="B10:F10"/>
    <mergeCell ref="B20:F20"/>
    <mergeCell ref="B15:F15"/>
    <mergeCell ref="D13:F13"/>
    <mergeCell ref="C21:C23"/>
    <mergeCell ref="B21:B23"/>
  </mergeCells>
  <printOptions/>
  <pageMargins left="0.75" right="0.75" top="1" bottom="1" header="0.5" footer="0.5"/>
  <pageSetup fitToHeight="1" fitToWidth="1" horizontalDpi="600" verticalDpi="600" orientation="portrait" scale="90" r:id="rId3"/>
  <headerFooter alignWithMargins="0">
    <oddFooter>&amp;L&amp;8City of Chicago
Dept. of Water Management&amp;C&amp;8Permit Application
Filter Strips Worksheet&amp;R&amp;8&amp;A
Page &amp;P</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1">
      <selection activeCell="D18" sqref="D18"/>
    </sheetView>
  </sheetViews>
  <sheetFormatPr defaultColWidth="9.140625" defaultRowHeight="12.75"/>
  <cols>
    <col min="1" max="1" width="14.57421875" style="0" customWidth="1"/>
    <col min="2" max="2" width="15.28125" style="0" customWidth="1"/>
    <col min="3" max="3" width="24.7109375" style="0" customWidth="1"/>
    <col min="4" max="9" width="13.7109375" style="0" customWidth="1"/>
  </cols>
  <sheetData>
    <row r="1" spans="1:7" ht="18">
      <c r="A1" s="131" t="s">
        <v>119</v>
      </c>
      <c r="B1" s="124"/>
      <c r="C1" s="124"/>
      <c r="D1" s="124"/>
      <c r="E1" s="124"/>
      <c r="F1" s="124"/>
      <c r="G1" s="124"/>
    </row>
    <row r="2" spans="1:7" ht="18">
      <c r="A2" s="131" t="s">
        <v>375</v>
      </c>
      <c r="B2" s="124"/>
      <c r="C2" s="124"/>
      <c r="D2" s="124"/>
      <c r="E2" s="124"/>
      <c r="F2" s="124"/>
      <c r="G2" s="124"/>
    </row>
    <row r="3" spans="1:7" ht="12.75" customHeight="1">
      <c r="A3" s="131"/>
      <c r="B3" s="124"/>
      <c r="C3" s="124"/>
      <c r="D3" s="124"/>
      <c r="E3" s="124"/>
      <c r="F3" s="124"/>
      <c r="G3" s="124"/>
    </row>
    <row r="4" spans="1:7" ht="12.75" customHeight="1">
      <c r="A4" t="s">
        <v>123</v>
      </c>
      <c r="B4" s="123">
        <f>IF(COVER!$D$15="","",COVER!$D$15)</f>
      </c>
      <c r="C4" s="146"/>
      <c r="D4" s="124"/>
      <c r="E4" s="124"/>
      <c r="F4" s="124"/>
      <c r="G4" s="124"/>
    </row>
    <row r="5" spans="1:7" ht="12.75" customHeight="1">
      <c r="A5" t="s">
        <v>124</v>
      </c>
      <c r="B5" s="147">
        <f>IF(COVER!$D$18="","",COVER!$D$18)</f>
      </c>
      <c r="C5" s="148"/>
      <c r="D5" s="124"/>
      <c r="E5" s="124"/>
      <c r="F5" s="124"/>
      <c r="G5" s="124"/>
    </row>
    <row r="6" spans="1:7" ht="12.75" customHeight="1">
      <c r="A6" t="s">
        <v>125</v>
      </c>
      <c r="B6" s="147">
        <f>IF(COVER!$F$21="","",COVER!$F$21)</f>
      </c>
      <c r="C6" s="148"/>
      <c r="D6" s="124"/>
      <c r="E6" s="124"/>
      <c r="F6" s="124"/>
      <c r="G6" s="124"/>
    </row>
    <row r="7" spans="2:7" ht="12.75" customHeight="1">
      <c r="B7" s="118"/>
      <c r="C7" s="124"/>
      <c r="D7" s="124"/>
      <c r="E7" s="124"/>
      <c r="F7" s="124"/>
      <c r="G7" s="124"/>
    </row>
    <row r="8" ht="18">
      <c r="A8" s="131" t="s">
        <v>412</v>
      </c>
    </row>
    <row r="9" spans="1:8" ht="12.75">
      <c r="A9" s="7" t="s">
        <v>475</v>
      </c>
      <c r="B9" s="6"/>
      <c r="C9" s="3"/>
      <c r="D9" s="3"/>
      <c r="E9" s="3"/>
      <c r="F9" s="5"/>
      <c r="G9" s="5"/>
      <c r="H9" s="5"/>
    </row>
    <row r="10" spans="1:9" ht="12.75">
      <c r="A10" s="378">
        <f>IF('1.0 RATE CONTROL'!E51="","",IF('1.0 RATE CONTROL'!E51="No","Oversized detention is not allowed.  Do not complete this worksheet.",""))</f>
      </c>
      <c r="B10" s="8"/>
      <c r="C10" s="7"/>
      <c r="D10" s="7"/>
      <c r="E10" s="7"/>
      <c r="F10" s="7"/>
      <c r="G10" s="7"/>
      <c r="H10" s="7"/>
      <c r="I10" s="8"/>
    </row>
    <row r="11" spans="1:9" ht="12.75">
      <c r="A11" s="7"/>
      <c r="B11" s="6"/>
      <c r="C11" s="11"/>
      <c r="D11" s="24"/>
      <c r="E11" s="25"/>
      <c r="H11" s="7"/>
      <c r="I11" s="8"/>
    </row>
    <row r="12" spans="1:9" ht="12.75">
      <c r="A12" s="27" t="s">
        <v>11</v>
      </c>
      <c r="B12" s="228" t="s">
        <v>77</v>
      </c>
      <c r="C12" s="14"/>
      <c r="D12" s="562"/>
      <c r="E12" s="564" t="s">
        <v>80</v>
      </c>
      <c r="F12" s="569" t="s">
        <v>85</v>
      </c>
      <c r="G12" s="569"/>
      <c r="H12" s="11"/>
      <c r="I12" s="16"/>
    </row>
    <row r="13" spans="1:9" ht="12.75">
      <c r="A13" s="11"/>
      <c r="B13" s="21"/>
      <c r="C13" s="11"/>
      <c r="D13" s="563"/>
      <c r="E13" s="565"/>
      <c r="F13" s="569"/>
      <c r="G13" s="569"/>
      <c r="H13" s="11"/>
      <c r="I13" s="16"/>
    </row>
    <row r="14" spans="1:9" ht="63.75">
      <c r="A14" s="17"/>
      <c r="B14" s="30"/>
      <c r="C14" s="155" t="s">
        <v>376</v>
      </c>
      <c r="D14" s="391">
        <f>'1.0 RATE CONTROL'!G72</f>
        <v>0</v>
      </c>
      <c r="E14" s="92" t="s">
        <v>59</v>
      </c>
      <c r="F14" s="150"/>
      <c r="G14" s="151"/>
      <c r="H14" s="17"/>
      <c r="I14" s="6"/>
    </row>
    <row r="15" spans="1:9" ht="25.5" customHeight="1">
      <c r="A15" s="17"/>
      <c r="B15" s="30"/>
      <c r="C15" s="33" t="s">
        <v>79</v>
      </c>
      <c r="D15" s="241">
        <f>'1.0 RATE CONTROL'!C67</f>
        <v>0</v>
      </c>
      <c r="E15" s="92" t="s">
        <v>54</v>
      </c>
      <c r="F15" s="152"/>
      <c r="G15" s="153"/>
      <c r="H15" s="17"/>
      <c r="I15" s="6"/>
    </row>
    <row r="16" spans="1:9" ht="23.25" customHeight="1">
      <c r="A16" s="17"/>
      <c r="B16" s="30"/>
      <c r="C16" s="33" t="s">
        <v>78</v>
      </c>
      <c r="D16" s="241">
        <f>'2.0 VOLUME CONTROL'!C47</f>
        <v>0</v>
      </c>
      <c r="E16" s="92" t="s">
        <v>54</v>
      </c>
      <c r="F16" s="152"/>
      <c r="G16" s="153"/>
      <c r="H16" s="17"/>
      <c r="I16" s="6"/>
    </row>
    <row r="17" spans="1:9" ht="25.5">
      <c r="A17" s="17"/>
      <c r="B17" s="17"/>
      <c r="C17" s="33" t="s">
        <v>82</v>
      </c>
      <c r="D17" s="241">
        <f>D16+D15</f>
        <v>0</v>
      </c>
      <c r="E17" s="92" t="s">
        <v>54</v>
      </c>
      <c r="F17" s="156"/>
      <c r="G17" s="157"/>
      <c r="H17" s="17"/>
      <c r="I17" s="6"/>
    </row>
    <row r="18" spans="1:9" ht="63.75">
      <c r="A18" s="17"/>
      <c r="B18" s="17"/>
      <c r="C18" s="33" t="s">
        <v>81</v>
      </c>
      <c r="D18" s="375"/>
      <c r="E18" s="92" t="s">
        <v>59</v>
      </c>
      <c r="F18" s="566">
        <f>IF(D18="","","Complete Tab 1.3 Restrictor Sizing")</f>
      </c>
      <c r="G18" s="567"/>
      <c r="H18" s="17"/>
      <c r="I18" s="6"/>
    </row>
    <row r="19" spans="1:9" ht="12.75">
      <c r="A19" s="17"/>
      <c r="B19" s="17"/>
      <c r="C19" s="33" t="s">
        <v>83</v>
      </c>
      <c r="D19" s="247">
        <f>IF(D18="","",I46)</f>
      </c>
      <c r="E19" s="91" t="s">
        <v>54</v>
      </c>
      <c r="F19" s="568">
        <f>IF(D18="","",IF(D19&lt;D17,"Oversized detention not achieved",IF(D19&gt;D17,"Oversized detention achieved"," ")))</f>
      </c>
      <c r="G19" s="568"/>
      <c r="H19" s="17"/>
      <c r="I19" s="6"/>
    </row>
    <row r="20" spans="1:9" ht="12.75">
      <c r="A20" s="17"/>
      <c r="B20" s="17"/>
      <c r="C20" s="95"/>
      <c r="D20" s="45"/>
      <c r="E20" s="93"/>
      <c r="F20" s="17"/>
      <c r="G20" s="17"/>
      <c r="H20" s="17"/>
      <c r="I20" s="6"/>
    </row>
    <row r="21" spans="1:9" ht="12.75">
      <c r="A21" s="17"/>
      <c r="B21" s="17"/>
      <c r="C21" s="95"/>
      <c r="D21" s="45"/>
      <c r="E21" s="93"/>
      <c r="F21" s="17"/>
      <c r="G21" s="17"/>
      <c r="H21" s="17"/>
      <c r="I21" s="6"/>
    </row>
    <row r="22" spans="1:9" ht="12.75">
      <c r="A22" s="17"/>
      <c r="B22" s="17"/>
      <c r="C22" s="16"/>
      <c r="D22" s="45"/>
      <c r="E22" s="16"/>
      <c r="F22" s="17"/>
      <c r="G22" s="17"/>
      <c r="H22" s="17"/>
      <c r="I22" s="6"/>
    </row>
    <row r="23" spans="1:10" ht="17.25" customHeight="1">
      <c r="A23" s="36" t="s">
        <v>84</v>
      </c>
      <c r="B23" s="74"/>
      <c r="C23" s="74"/>
      <c r="D23" s="74"/>
      <c r="E23" s="74"/>
      <c r="F23" s="74"/>
      <c r="G23" s="74"/>
      <c r="H23" s="75"/>
      <c r="I23" s="76"/>
      <c r="J23" s="35"/>
    </row>
    <row r="24" spans="1:10" ht="12.75">
      <c r="A24" s="8" t="s">
        <v>497</v>
      </c>
      <c r="B24" s="37"/>
      <c r="C24" s="37"/>
      <c r="D24" s="39"/>
      <c r="E24" s="74"/>
      <c r="F24" s="37"/>
      <c r="G24" s="37"/>
      <c r="H24" s="37"/>
      <c r="I24" s="38"/>
      <c r="J24" s="35"/>
    </row>
    <row r="25" spans="1:10" ht="13.5" thickBot="1">
      <c r="A25" s="37"/>
      <c r="B25" s="37"/>
      <c r="C25" s="53" t="s">
        <v>56</v>
      </c>
      <c r="D25" s="40"/>
      <c r="E25" s="37"/>
      <c r="F25" s="37"/>
      <c r="G25" s="37"/>
      <c r="H25" s="37"/>
      <c r="I25" s="38"/>
      <c r="J25" s="35"/>
    </row>
    <row r="26" spans="1:10" ht="14.25" thickBot="1" thickTop="1">
      <c r="A26" s="74"/>
      <c r="B26" s="74"/>
      <c r="C26" s="94">
        <f>'1.0 RATE CONTROL'!C72</f>
        <v>100</v>
      </c>
      <c r="D26" s="74"/>
      <c r="E26" s="77"/>
      <c r="F26" s="78"/>
      <c r="G26" s="96">
        <f>IF(D18="",0,D18)</f>
        <v>0</v>
      </c>
      <c r="H26" s="79" t="s">
        <v>59</v>
      </c>
      <c r="I26" s="80"/>
      <c r="J26" s="35"/>
    </row>
    <row r="27" spans="1:10" ht="13.5" thickTop="1">
      <c r="A27" s="62"/>
      <c r="B27" s="62"/>
      <c r="C27" s="62"/>
      <c r="D27" s="62"/>
      <c r="E27" s="63" t="s">
        <v>34</v>
      </c>
      <c r="F27" s="63"/>
      <c r="G27" s="63" t="s">
        <v>36</v>
      </c>
      <c r="H27" s="63" t="s">
        <v>37</v>
      </c>
      <c r="I27" s="62" t="s">
        <v>37</v>
      </c>
      <c r="J27" s="35"/>
    </row>
    <row r="28" spans="1:10" ht="12.75">
      <c r="A28" s="63" t="s">
        <v>30</v>
      </c>
      <c r="B28" s="63" t="s">
        <v>31</v>
      </c>
      <c r="C28" s="63" t="s">
        <v>32</v>
      </c>
      <c r="D28" s="63" t="s">
        <v>33</v>
      </c>
      <c r="E28" s="63" t="s">
        <v>42</v>
      </c>
      <c r="F28" s="63" t="s">
        <v>35</v>
      </c>
      <c r="G28" s="63" t="s">
        <v>42</v>
      </c>
      <c r="H28" s="63" t="s">
        <v>42</v>
      </c>
      <c r="I28" s="63" t="s">
        <v>44</v>
      </c>
      <c r="J28" s="35"/>
    </row>
    <row r="29" spans="1:10" ht="12.75">
      <c r="A29" s="63" t="s">
        <v>38</v>
      </c>
      <c r="B29" s="63" t="s">
        <v>39</v>
      </c>
      <c r="C29" s="63" t="s">
        <v>40</v>
      </c>
      <c r="D29" s="63" t="s">
        <v>41</v>
      </c>
      <c r="E29" s="63" t="s">
        <v>49</v>
      </c>
      <c r="F29" s="63" t="s">
        <v>43</v>
      </c>
      <c r="G29" s="63" t="s">
        <v>586</v>
      </c>
      <c r="H29" s="63" t="s">
        <v>587</v>
      </c>
      <c r="I29" s="63" t="s">
        <v>588</v>
      </c>
      <c r="J29" s="35"/>
    </row>
    <row r="30" spans="1:10" ht="12.75">
      <c r="A30" s="64" t="s">
        <v>589</v>
      </c>
      <c r="B30" s="64" t="s">
        <v>46</v>
      </c>
      <c r="C30" s="64" t="s">
        <v>47</v>
      </c>
      <c r="D30" s="64" t="s">
        <v>48</v>
      </c>
      <c r="E30" s="64" t="s">
        <v>50</v>
      </c>
      <c r="F30" s="64" t="s">
        <v>556</v>
      </c>
      <c r="G30" s="64" t="s">
        <v>50</v>
      </c>
      <c r="H30" s="64" t="s">
        <v>50</v>
      </c>
      <c r="I30" s="64" t="s">
        <v>556</v>
      </c>
      <c r="J30" s="35"/>
    </row>
    <row r="31" spans="1:10" ht="12.75">
      <c r="A31" s="49">
        <v>5</v>
      </c>
      <c r="B31" s="81">
        <f>'1.0 RATE CONTROL'!B77</f>
        <v>0</v>
      </c>
      <c r="C31" s="82">
        <f>IF(C$26=100,IDF!L18,IF(C$26=50,IDF!J18,IF(C$26=25,IDF!H18,IF(C$26=10,IDF!F18,IF(C$26=5,IDF!D18,"invalid entry in C26")))))</f>
        <v>10.92</v>
      </c>
      <c r="D31" s="81">
        <f>'1.0 RATE CONTROL'!D77</f>
        <v>0</v>
      </c>
      <c r="E31" s="81">
        <f aca="true" t="shared" si="0" ref="E31:E45">B31*C31*D31</f>
        <v>0</v>
      </c>
      <c r="F31" s="83">
        <f aca="true" t="shared" si="1" ref="F31:F45">A31*E31*60</f>
        <v>0</v>
      </c>
      <c r="G31" s="84">
        <f>G26</f>
        <v>0</v>
      </c>
      <c r="H31" s="81">
        <f>E31-G31</f>
        <v>0</v>
      </c>
      <c r="I31" s="46">
        <f aca="true" t="shared" si="2" ref="I31:I45">H31*A31*60</f>
        <v>0</v>
      </c>
      <c r="J31" s="35"/>
    </row>
    <row r="32" spans="1:10" ht="12.75">
      <c r="A32" s="49">
        <v>10</v>
      </c>
      <c r="B32" s="81">
        <f aca="true" t="shared" si="3" ref="B32:B45">B31</f>
        <v>0</v>
      </c>
      <c r="C32" s="82">
        <f>IF(C$26=100,IDF!L19,IF(C$26=50,IDF!J19,IF(C$26=25,IDF!H19,IF(C$26=10,IDF!F19,IF(C$26=5,IDF!D19,"invalid entry in C26")))))</f>
        <v>10.02</v>
      </c>
      <c r="D32" s="67">
        <f aca="true" t="shared" si="4" ref="D32:D45">D31</f>
        <v>0</v>
      </c>
      <c r="E32" s="81">
        <f t="shared" si="0"/>
        <v>0</v>
      </c>
      <c r="F32" s="83">
        <f t="shared" si="1"/>
        <v>0</v>
      </c>
      <c r="G32" s="84">
        <f aca="true" t="shared" si="5" ref="G32:G45">G31</f>
        <v>0</v>
      </c>
      <c r="H32" s="81">
        <f aca="true" t="shared" si="6" ref="H32:H45">E32-G32</f>
        <v>0</v>
      </c>
      <c r="I32" s="46">
        <f t="shared" si="2"/>
        <v>0</v>
      </c>
      <c r="J32" s="35"/>
    </row>
    <row r="33" spans="1:10" ht="12.75">
      <c r="A33" s="49">
        <v>15</v>
      </c>
      <c r="B33" s="81">
        <f t="shared" si="3"/>
        <v>0</v>
      </c>
      <c r="C33" s="82">
        <f>IF(C$26=100,IDF!L20,IF(C$26=50,IDF!J20,IF(C$26=25,IDF!H20,IF(C$26=10,IDF!F20,IF(C$26=5,IDF!D20,"invalid entry in C26")))))</f>
        <v>8.2</v>
      </c>
      <c r="D33" s="67">
        <f t="shared" si="4"/>
        <v>0</v>
      </c>
      <c r="E33" s="81">
        <f t="shared" si="0"/>
        <v>0</v>
      </c>
      <c r="F33" s="83">
        <f t="shared" si="1"/>
        <v>0</v>
      </c>
      <c r="G33" s="84">
        <f t="shared" si="5"/>
        <v>0</v>
      </c>
      <c r="H33" s="81">
        <f t="shared" si="6"/>
        <v>0</v>
      </c>
      <c r="I33" s="46">
        <f t="shared" si="2"/>
        <v>0</v>
      </c>
      <c r="J33" s="35"/>
    </row>
    <row r="34" spans="1:10" ht="12.75">
      <c r="A34" s="49">
        <v>30</v>
      </c>
      <c r="B34" s="81">
        <f t="shared" si="3"/>
        <v>0</v>
      </c>
      <c r="C34" s="82">
        <f>IF(C$26=100,IDF!L21,IF(C$26=50,IDF!J21,IF(C$26=25,IDF!H21,IF(C$26=10,IDF!F21,IF(C$26=5,IDF!D21,"invalid entry in C26")))))</f>
        <v>5.6</v>
      </c>
      <c r="D34" s="67">
        <f t="shared" si="4"/>
        <v>0</v>
      </c>
      <c r="E34" s="81">
        <f t="shared" si="0"/>
        <v>0</v>
      </c>
      <c r="F34" s="83">
        <f t="shared" si="1"/>
        <v>0</v>
      </c>
      <c r="G34" s="84">
        <f t="shared" si="5"/>
        <v>0</v>
      </c>
      <c r="H34" s="81">
        <f t="shared" si="6"/>
        <v>0</v>
      </c>
      <c r="I34" s="46">
        <f t="shared" si="2"/>
        <v>0</v>
      </c>
      <c r="J34" s="35"/>
    </row>
    <row r="35" spans="1:10" ht="12.75">
      <c r="A35" s="49">
        <v>60</v>
      </c>
      <c r="B35" s="81">
        <f t="shared" si="3"/>
        <v>0</v>
      </c>
      <c r="C35" s="82">
        <f>IF(C$26=100,IDF!L22,IF(C$26=50,IDF!J22,IF(C$26=25,IDF!H22,IF(C$26=10,IDF!F22,IF(C$26=5,IDF!D22,"invalid entry in C26")))))</f>
        <v>3.56</v>
      </c>
      <c r="D35" s="67">
        <f t="shared" si="4"/>
        <v>0</v>
      </c>
      <c r="E35" s="81">
        <f t="shared" si="0"/>
        <v>0</v>
      </c>
      <c r="F35" s="83">
        <f t="shared" si="1"/>
        <v>0</v>
      </c>
      <c r="G35" s="84">
        <f t="shared" si="5"/>
        <v>0</v>
      </c>
      <c r="H35" s="81">
        <f t="shared" si="6"/>
        <v>0</v>
      </c>
      <c r="I35" s="46">
        <f t="shared" si="2"/>
        <v>0</v>
      </c>
      <c r="J35" s="35"/>
    </row>
    <row r="36" spans="1:10" ht="12.75">
      <c r="A36" s="49">
        <f>2*60</f>
        <v>120</v>
      </c>
      <c r="B36" s="81">
        <f t="shared" si="3"/>
        <v>0</v>
      </c>
      <c r="C36" s="82">
        <f>IF(C$26=100,IDF!L23,IF(C$26=50,IDF!J23,IF(C$26=25,IDF!H23,IF(C$26=10,IDF!F23,IF(C$26=5,IDF!D23,"invalid entry in C26")))))</f>
        <v>2.235</v>
      </c>
      <c r="D36" s="67">
        <f t="shared" si="4"/>
        <v>0</v>
      </c>
      <c r="E36" s="81">
        <f t="shared" si="0"/>
        <v>0</v>
      </c>
      <c r="F36" s="83">
        <f t="shared" si="1"/>
        <v>0</v>
      </c>
      <c r="G36" s="84">
        <f t="shared" si="5"/>
        <v>0</v>
      </c>
      <c r="H36" s="81">
        <f t="shared" si="6"/>
        <v>0</v>
      </c>
      <c r="I36" s="46">
        <f t="shared" si="2"/>
        <v>0</v>
      </c>
      <c r="J36" s="35"/>
    </row>
    <row r="37" spans="1:10" ht="12.75">
      <c r="A37" s="49">
        <f>3*60</f>
        <v>180</v>
      </c>
      <c r="B37" s="81">
        <f t="shared" si="3"/>
        <v>0</v>
      </c>
      <c r="C37" s="82">
        <f>IF(C$26=100,IDF!L24,IF(C$26=50,IDF!J24,IF(C$26=25,IDF!H24,IF(C$26=10,IDF!F24,IF(C$26=5,IDF!D24,"invalid entry in C26")))))</f>
        <v>1.6166666666666665</v>
      </c>
      <c r="D37" s="67">
        <f t="shared" si="4"/>
        <v>0</v>
      </c>
      <c r="E37" s="81">
        <f t="shared" si="0"/>
        <v>0</v>
      </c>
      <c r="F37" s="83">
        <f t="shared" si="1"/>
        <v>0</v>
      </c>
      <c r="G37" s="84">
        <f t="shared" si="5"/>
        <v>0</v>
      </c>
      <c r="H37" s="81">
        <f t="shared" si="6"/>
        <v>0</v>
      </c>
      <c r="I37" s="46">
        <f t="shared" si="2"/>
        <v>0</v>
      </c>
      <c r="J37" s="35"/>
    </row>
    <row r="38" spans="1:10" ht="12.75">
      <c r="A38" s="49">
        <f>6*60</f>
        <v>360</v>
      </c>
      <c r="B38" s="81">
        <f t="shared" si="3"/>
        <v>0</v>
      </c>
      <c r="C38" s="82">
        <f>IF(C$26=100,IDF!L25,IF(C$26=50,IDF!J25,IF(C$26=25,IDF!H25,IF(C$26=10,IDF!F25,IF(C$26=5,IDF!D25,"invalid entry in C26")))))</f>
        <v>0.9466666666666665</v>
      </c>
      <c r="D38" s="67">
        <f t="shared" si="4"/>
        <v>0</v>
      </c>
      <c r="E38" s="81">
        <f t="shared" si="0"/>
        <v>0</v>
      </c>
      <c r="F38" s="83">
        <f t="shared" si="1"/>
        <v>0</v>
      </c>
      <c r="G38" s="84">
        <f t="shared" si="5"/>
        <v>0</v>
      </c>
      <c r="H38" s="81">
        <f t="shared" si="6"/>
        <v>0</v>
      </c>
      <c r="I38" s="46">
        <f t="shared" si="2"/>
        <v>0</v>
      </c>
      <c r="J38" s="35"/>
    </row>
    <row r="39" spans="1:10" ht="12.75">
      <c r="A39" s="49">
        <f>12*60</f>
        <v>720</v>
      </c>
      <c r="B39" s="81">
        <f t="shared" si="3"/>
        <v>0</v>
      </c>
      <c r="C39" s="82">
        <f>IF(C$26=100,IDF!L26,IF(C$26=50,IDF!J26,IF(C$26=25,IDF!H26,IF(C$26=10,IDF!F26,IF(C$26=5,IDF!D26,"invalid entry in C26")))))</f>
        <v>0.5491666666666666</v>
      </c>
      <c r="D39" s="67">
        <f t="shared" si="4"/>
        <v>0</v>
      </c>
      <c r="E39" s="81">
        <f t="shared" si="0"/>
        <v>0</v>
      </c>
      <c r="F39" s="83">
        <f t="shared" si="1"/>
        <v>0</v>
      </c>
      <c r="G39" s="84">
        <f t="shared" si="5"/>
        <v>0</v>
      </c>
      <c r="H39" s="81">
        <f t="shared" si="6"/>
        <v>0</v>
      </c>
      <c r="I39" s="46">
        <f t="shared" si="2"/>
        <v>0</v>
      </c>
      <c r="J39" s="35"/>
    </row>
    <row r="40" spans="1:10" ht="12.75">
      <c r="A40" s="49">
        <f>18*60</f>
        <v>1080</v>
      </c>
      <c r="B40" s="81">
        <f t="shared" si="3"/>
        <v>0</v>
      </c>
      <c r="C40" s="82">
        <f>IF(C$26=100,IDF!L27,IF(C$26=50,IDF!J27,IF(C$26=25,IDF!H27,IF(C$26=10,IDF!F27,IF(C$26=5,IDF!D27,"invalid entry in C26")))))</f>
        <v>0.3872222222222222</v>
      </c>
      <c r="D40" s="67">
        <f t="shared" si="4"/>
        <v>0</v>
      </c>
      <c r="E40" s="81">
        <f t="shared" si="0"/>
        <v>0</v>
      </c>
      <c r="F40" s="83">
        <f t="shared" si="1"/>
        <v>0</v>
      </c>
      <c r="G40" s="84">
        <f t="shared" si="5"/>
        <v>0</v>
      </c>
      <c r="H40" s="81">
        <f t="shared" si="6"/>
        <v>0</v>
      </c>
      <c r="I40" s="46">
        <f t="shared" si="2"/>
        <v>0</v>
      </c>
      <c r="J40" s="35"/>
    </row>
    <row r="41" spans="1:10" ht="12.75">
      <c r="A41" s="49">
        <f>24*60</f>
        <v>1440</v>
      </c>
      <c r="B41" s="81">
        <f t="shared" si="3"/>
        <v>0</v>
      </c>
      <c r="C41" s="82">
        <f>IF(C$26=100,IDF!L28,IF(C$26=50,IDF!J28,IF(C$26=25,IDF!H28,IF(C$26=10,IDF!F28,IF(C$26=5,IDF!D28,"invalid entry in C26")))))</f>
        <v>0.3158333333333333</v>
      </c>
      <c r="D41" s="67">
        <f t="shared" si="4"/>
        <v>0</v>
      </c>
      <c r="E41" s="81">
        <f t="shared" si="0"/>
        <v>0</v>
      </c>
      <c r="F41" s="83">
        <f t="shared" si="1"/>
        <v>0</v>
      </c>
      <c r="G41" s="84">
        <f t="shared" si="5"/>
        <v>0</v>
      </c>
      <c r="H41" s="81">
        <f t="shared" si="6"/>
        <v>0</v>
      </c>
      <c r="I41" s="46">
        <f t="shared" si="2"/>
        <v>0</v>
      </c>
      <c r="J41" s="35"/>
    </row>
    <row r="42" spans="1:10" ht="12.75">
      <c r="A42" s="49">
        <f>48*60</f>
        <v>2880</v>
      </c>
      <c r="B42" s="81">
        <f t="shared" si="3"/>
        <v>0</v>
      </c>
      <c r="C42" s="82">
        <f>IF(C$26=100,IDF!L29,IF(C$26=50,IDF!J29,IF(C$26=25,IDF!H29,IF(C$26=10,IDF!F29,IF(C$26=5,IDF!D29,"invalid entry in C26")))))</f>
        <v>0.16999999999999998</v>
      </c>
      <c r="D42" s="67">
        <f t="shared" si="4"/>
        <v>0</v>
      </c>
      <c r="E42" s="81">
        <f t="shared" si="0"/>
        <v>0</v>
      </c>
      <c r="F42" s="83">
        <f t="shared" si="1"/>
        <v>0</v>
      </c>
      <c r="G42" s="84">
        <f t="shared" si="5"/>
        <v>0</v>
      </c>
      <c r="H42" s="81">
        <f t="shared" si="6"/>
        <v>0</v>
      </c>
      <c r="I42" s="46">
        <f t="shared" si="2"/>
        <v>0</v>
      </c>
      <c r="J42" s="35"/>
    </row>
    <row r="43" spans="1:10" ht="12.75">
      <c r="A43" s="49">
        <f>72*60</f>
        <v>4320</v>
      </c>
      <c r="B43" s="81">
        <f t="shared" si="3"/>
        <v>0</v>
      </c>
      <c r="C43" s="82">
        <f>IF(C$26=100,IDF!L30,IF(C$26=50,IDF!J30,IF(C$26=25,IDF!H30,IF(C$26=10,IDF!F30,IF(C$26=5,IDF!D30,"invalid entry in C26")))))</f>
        <v>0.12194444444444442</v>
      </c>
      <c r="D43" s="67">
        <f t="shared" si="4"/>
        <v>0</v>
      </c>
      <c r="E43" s="81">
        <f t="shared" si="0"/>
        <v>0</v>
      </c>
      <c r="F43" s="83">
        <f t="shared" si="1"/>
        <v>0</v>
      </c>
      <c r="G43" s="84">
        <f t="shared" si="5"/>
        <v>0</v>
      </c>
      <c r="H43" s="81">
        <f t="shared" si="6"/>
        <v>0</v>
      </c>
      <c r="I43" s="46">
        <f t="shared" si="2"/>
        <v>0</v>
      </c>
      <c r="J43" s="35"/>
    </row>
    <row r="44" spans="1:10" ht="12.75">
      <c r="A44" s="49">
        <f>5*24*60</f>
        <v>7200</v>
      </c>
      <c r="B44" s="81">
        <f t="shared" si="3"/>
        <v>0</v>
      </c>
      <c r="C44" s="82">
        <f>IF(C$26=100,IDF!L31,IF(C$26=50,IDF!J31,IF(C$26=25,IDF!H31,IF(C$26=10,IDF!F31,IF(C$26=5,IDF!D31,"invalid entry in C26")))))</f>
        <v>0.083</v>
      </c>
      <c r="D44" s="67">
        <f t="shared" si="4"/>
        <v>0</v>
      </c>
      <c r="E44" s="81">
        <f t="shared" si="0"/>
        <v>0</v>
      </c>
      <c r="F44" s="83">
        <f t="shared" si="1"/>
        <v>0</v>
      </c>
      <c r="G44" s="84">
        <f t="shared" si="5"/>
        <v>0</v>
      </c>
      <c r="H44" s="81">
        <f t="shared" si="6"/>
        <v>0</v>
      </c>
      <c r="I44" s="46">
        <f t="shared" si="2"/>
        <v>0</v>
      </c>
      <c r="J44" s="35"/>
    </row>
    <row r="45" spans="1:10" ht="12.75">
      <c r="A45" s="49">
        <f>10*24*60</f>
        <v>14400</v>
      </c>
      <c r="B45" s="81">
        <f t="shared" si="3"/>
        <v>0</v>
      </c>
      <c r="C45" s="82">
        <f>IF(C$26=100,IDF!L32,IF(C$26=50,IDF!J32,IF(C$26=25,IDF!H32,IF(C$26=10,IDF!F32,IF(C$26=5,IDF!D32,"invalid entry in C26")))))</f>
        <v>0.04641666666666667</v>
      </c>
      <c r="D45" s="67">
        <f t="shared" si="4"/>
        <v>0</v>
      </c>
      <c r="E45" s="81">
        <f t="shared" si="0"/>
        <v>0</v>
      </c>
      <c r="F45" s="83">
        <f t="shared" si="1"/>
        <v>0</v>
      </c>
      <c r="G45" s="84">
        <f t="shared" si="5"/>
        <v>0</v>
      </c>
      <c r="H45" s="81">
        <f t="shared" si="6"/>
        <v>0</v>
      </c>
      <c r="I45" s="46">
        <f t="shared" si="2"/>
        <v>0</v>
      </c>
      <c r="J45" s="35"/>
    </row>
    <row r="46" spans="1:10" ht="38.25">
      <c r="A46" s="75"/>
      <c r="B46" s="75"/>
      <c r="C46" s="75"/>
      <c r="D46" s="75"/>
      <c r="E46" s="75"/>
      <c r="F46" s="35"/>
      <c r="G46" s="74"/>
      <c r="H46" s="41" t="s">
        <v>51</v>
      </c>
      <c r="I46" s="46">
        <f>MAX(I31:I45)</f>
        <v>0</v>
      </c>
      <c r="J46" s="35"/>
    </row>
    <row r="47" spans="1:10" ht="12.75">
      <c r="A47" s="75" t="s">
        <v>52</v>
      </c>
      <c r="B47" s="75"/>
      <c r="C47" s="75"/>
      <c r="D47" s="75"/>
      <c r="E47" s="75"/>
      <c r="F47" s="75"/>
      <c r="G47" s="75"/>
      <c r="H47" s="75"/>
      <c r="I47" s="85"/>
      <c r="J47" s="35"/>
    </row>
    <row r="48" spans="2:10" ht="12.75">
      <c r="B48" s="75"/>
      <c r="C48" s="75"/>
      <c r="D48" s="75"/>
      <c r="E48" s="75"/>
      <c r="F48" s="75"/>
      <c r="G48" s="75"/>
      <c r="H48" s="75"/>
      <c r="I48" s="76"/>
      <c r="J48" s="35"/>
    </row>
  </sheetData>
  <sheetProtection/>
  <mergeCells count="5">
    <mergeCell ref="D12:D13"/>
    <mergeCell ref="E12:E13"/>
    <mergeCell ref="F18:G18"/>
    <mergeCell ref="F19:G19"/>
    <mergeCell ref="F12:G13"/>
  </mergeCells>
  <conditionalFormatting sqref="D19">
    <cfRule type="cellIs" priority="1" dxfId="3" operator="greaterThan" stopIfTrue="1">
      <formula>$D$17</formula>
    </cfRule>
    <cfRule type="cellIs" priority="2" dxfId="2" operator="lessThan" stopIfTrue="1">
      <formula>$D$17</formula>
    </cfRule>
    <cfRule type="cellIs" priority="3" dxfId="1" operator="notEqual" stopIfTrue="1">
      <formula>$D$17</formula>
    </cfRule>
  </conditionalFormatting>
  <conditionalFormatting sqref="I31:I46">
    <cfRule type="cellIs" priority="6" dxfId="0" operator="equal" stopIfTrue="1">
      <formula>$I$46</formula>
    </cfRule>
  </conditionalFormatting>
  <printOptions/>
  <pageMargins left="0.75" right="0.75" top="1" bottom="1" header="0.5" footer="0.5"/>
  <pageSetup fitToHeight="1" fitToWidth="1" horizontalDpi="600" verticalDpi="600" orientation="portrait" scale="66" r:id="rId3"/>
  <headerFooter alignWithMargins="0">
    <oddFooter>&amp;L&amp;8City of Chicago
Dept. of Water Management&amp;C&amp;8Permit Application&amp;R&amp;8&amp;A
Page &amp;P</oddFooter>
  </headerFooter>
  <legacyDrawing r:id="rId2"/>
</worksheet>
</file>

<file path=xl/worksheets/sheet19.xml><?xml version="1.0" encoding="utf-8"?>
<worksheet xmlns="http://schemas.openxmlformats.org/spreadsheetml/2006/main" xmlns:r="http://schemas.openxmlformats.org/officeDocument/2006/relationships">
  <dimension ref="A1:G26"/>
  <sheetViews>
    <sheetView zoomScalePageLayoutView="0" workbookViewId="0" topLeftCell="A1">
      <selection activeCell="B7" sqref="B7"/>
    </sheetView>
  </sheetViews>
  <sheetFormatPr defaultColWidth="9.140625" defaultRowHeight="12.75"/>
  <cols>
    <col min="1" max="1" width="15.7109375" style="0" customWidth="1"/>
    <col min="2" max="2" width="36.8515625" style="0" customWidth="1"/>
    <col min="3" max="3" width="23.421875" style="0" customWidth="1"/>
    <col min="4" max="4" width="22.57421875" style="0" customWidth="1"/>
  </cols>
  <sheetData>
    <row r="1" spans="1:7" ht="18">
      <c r="A1" s="131" t="s">
        <v>119</v>
      </c>
      <c r="B1" s="124"/>
      <c r="C1" s="124"/>
      <c r="D1" s="124"/>
      <c r="E1" s="124"/>
      <c r="F1" s="124"/>
      <c r="G1" s="124"/>
    </row>
    <row r="2" spans="1:7" ht="18">
      <c r="A2" s="131" t="s">
        <v>375</v>
      </c>
      <c r="B2" s="124"/>
      <c r="C2" s="124"/>
      <c r="D2" s="124"/>
      <c r="E2" s="124"/>
      <c r="F2" s="124"/>
      <c r="G2" s="124"/>
    </row>
    <row r="3" spans="1:7" ht="12.75" customHeight="1">
      <c r="A3" s="131"/>
      <c r="B3" s="124"/>
      <c r="C3" s="124"/>
      <c r="D3" s="124"/>
      <c r="E3" s="124"/>
      <c r="F3" s="124"/>
      <c r="G3" s="124"/>
    </row>
    <row r="4" spans="1:7" ht="12.75" customHeight="1">
      <c r="A4" t="s">
        <v>123</v>
      </c>
      <c r="B4" s="123">
        <f>IF(COVER!$D$15="","",COVER!$D$15)</f>
      </c>
      <c r="C4" s="124"/>
      <c r="D4" s="124"/>
      <c r="E4" s="124"/>
      <c r="F4" s="124"/>
      <c r="G4" s="124"/>
    </row>
    <row r="5" spans="1:7" ht="12.75" customHeight="1">
      <c r="A5" t="s">
        <v>124</v>
      </c>
      <c r="B5" s="147">
        <f>IF(COVER!$D$18="","",COVER!$D$18)</f>
      </c>
      <c r="C5" s="124"/>
      <c r="D5" s="124"/>
      <c r="E5" s="124"/>
      <c r="F5" s="124"/>
      <c r="G5" s="124"/>
    </row>
    <row r="6" spans="1:7" ht="12.75" customHeight="1">
      <c r="A6" t="s">
        <v>125</v>
      </c>
      <c r="B6" s="147">
        <f>IF(COVER!$F$21="","",COVER!$F$21)</f>
      </c>
      <c r="C6" s="124"/>
      <c r="D6" s="124"/>
      <c r="E6" s="124"/>
      <c r="F6" s="124"/>
      <c r="G6" s="124"/>
    </row>
    <row r="7" spans="2:7" ht="12.75" customHeight="1">
      <c r="B7" s="208"/>
      <c r="C7" s="124"/>
      <c r="D7" s="124"/>
      <c r="E7" s="124"/>
      <c r="F7" s="124"/>
      <c r="G7" s="124"/>
    </row>
    <row r="8" ht="18">
      <c r="A8" s="131" t="s">
        <v>288</v>
      </c>
    </row>
    <row r="9" ht="18">
      <c r="A9" s="131"/>
    </row>
    <row r="10" spans="1:2" ht="20.25">
      <c r="A10" s="1"/>
      <c r="B10" s="52" t="s">
        <v>133</v>
      </c>
    </row>
    <row r="11" ht="12.75">
      <c r="B11" s="52" t="s">
        <v>134</v>
      </c>
    </row>
    <row r="12" ht="12.75">
      <c r="B12" s="8" t="s">
        <v>135</v>
      </c>
    </row>
    <row r="14" spans="2:3" ht="38.25">
      <c r="B14" s="158" t="s">
        <v>112</v>
      </c>
      <c r="C14" s="50" t="s">
        <v>136</v>
      </c>
    </row>
    <row r="15" spans="2:3" ht="12.75">
      <c r="B15" s="103" t="s">
        <v>90</v>
      </c>
      <c r="C15" s="251">
        <f>'2.1.1 Bioinfiltration'!E37</f>
        <v>0</v>
      </c>
    </row>
    <row r="16" spans="2:3" ht="12.75">
      <c r="B16" s="103" t="s">
        <v>91</v>
      </c>
      <c r="C16" s="251">
        <f>'2.1.2 Swales'!E53</f>
        <v>0</v>
      </c>
    </row>
    <row r="17" spans="2:3" ht="12.75">
      <c r="B17" s="103" t="s">
        <v>58</v>
      </c>
      <c r="C17" s="251" t="s">
        <v>101</v>
      </c>
    </row>
    <row r="18" spans="2:3" ht="12.75">
      <c r="B18" s="33" t="s">
        <v>137</v>
      </c>
      <c r="C18" s="251">
        <f>'2.1.4 Infiltration Vault'!E35</f>
        <v>0</v>
      </c>
    </row>
    <row r="19" spans="2:3" ht="12.75">
      <c r="B19" s="103" t="s">
        <v>138</v>
      </c>
      <c r="C19" s="251" t="s">
        <v>101</v>
      </c>
    </row>
    <row r="20" spans="2:3" ht="12.75">
      <c r="B20" s="103" t="s">
        <v>94</v>
      </c>
      <c r="C20" s="251">
        <f>'2.1.6 Permeable Pavement'!E34</f>
        <v>0</v>
      </c>
    </row>
    <row r="21" spans="2:3" ht="12.75">
      <c r="B21" s="103" t="s">
        <v>92</v>
      </c>
      <c r="C21" s="251">
        <f>'2.1.7.1 Roof Runoff Planters'!E37</f>
        <v>0</v>
      </c>
    </row>
    <row r="22" spans="2:3" ht="25.5">
      <c r="B22" s="106" t="s">
        <v>93</v>
      </c>
      <c r="C22" s="251">
        <f>'2.1.7.2 Roof Runoff Rain Barrel'!E34</f>
        <v>0</v>
      </c>
    </row>
    <row r="23" spans="2:3" ht="12.75">
      <c r="B23" s="107" t="s">
        <v>95</v>
      </c>
      <c r="C23" s="251">
        <f>'2.1.8 Filter Strips'!E30</f>
        <v>0</v>
      </c>
    </row>
    <row r="24" spans="2:4" ht="12.75">
      <c r="B24" s="160" t="s">
        <v>289</v>
      </c>
      <c r="C24" s="244">
        <f>SUM(C15:C23)</f>
        <v>0</v>
      </c>
      <c r="D24" s="264" t="str">
        <f>IF(C24&lt;C26,"Still Short"," ")</f>
        <v> </v>
      </c>
    </row>
    <row r="26" spans="2:3" ht="38.25">
      <c r="B26" s="115" t="s">
        <v>324</v>
      </c>
      <c r="C26" s="244">
        <f>'2.0 VOLUME CONTROL'!C47</f>
        <v>0</v>
      </c>
    </row>
  </sheetData>
  <sheetProtection/>
  <printOptions/>
  <pageMargins left="0.73" right="0.75" top="0.73" bottom="1" header="0.5" footer="0.5"/>
  <pageSetup horizontalDpi="600" verticalDpi="600" orientation="portrait" scale="92" r:id="rId3"/>
  <headerFooter alignWithMargins="0">
    <oddFooter>&amp;L&amp;8City of Chicago
Dept. of Water Management&amp;C&amp;8Permit Application
Volume Control BMP Summary&amp;R&amp;8&amp;A
Page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showGridLines="0" zoomScalePageLayoutView="0" workbookViewId="0" topLeftCell="A1">
      <selection activeCell="E9" sqref="E9"/>
    </sheetView>
  </sheetViews>
  <sheetFormatPr defaultColWidth="9.140625" defaultRowHeight="12.75"/>
  <cols>
    <col min="1" max="2" width="4.28125" style="0" customWidth="1"/>
    <col min="3" max="3" width="12.7109375" style="0" customWidth="1"/>
    <col min="4" max="4" width="2.8515625" style="0" customWidth="1"/>
    <col min="5" max="5" width="3.140625" style="0" customWidth="1"/>
    <col min="6" max="6" width="5.00390625" style="0" customWidth="1"/>
    <col min="7" max="7" width="42.7109375" style="0" customWidth="1"/>
    <col min="8" max="8" width="4.28125" style="0" customWidth="1"/>
    <col min="9" max="9" width="2.8515625" style="0" customWidth="1"/>
    <col min="10" max="10" width="7.140625" style="0" customWidth="1"/>
  </cols>
  <sheetData>
    <row r="1" spans="1:11" ht="18">
      <c r="A1" s="441" t="s">
        <v>119</v>
      </c>
      <c r="B1" s="441"/>
      <c r="C1" s="441"/>
      <c r="D1" s="441"/>
      <c r="E1" s="441"/>
      <c r="F1" s="441"/>
      <c r="G1" s="441"/>
      <c r="H1" s="441"/>
      <c r="I1" s="124"/>
      <c r="J1" s="124"/>
      <c r="K1" s="124"/>
    </row>
    <row r="2" spans="1:11" ht="18">
      <c r="A2" s="441" t="s">
        <v>375</v>
      </c>
      <c r="B2" s="441"/>
      <c r="C2" s="441"/>
      <c r="D2" s="441"/>
      <c r="E2" s="441"/>
      <c r="F2" s="441"/>
      <c r="G2" s="441"/>
      <c r="H2" s="441"/>
      <c r="I2" s="124"/>
      <c r="J2" s="124"/>
      <c r="K2" s="124"/>
    </row>
    <row r="4" spans="1:11" ht="18">
      <c r="A4" s="441" t="s">
        <v>365</v>
      </c>
      <c r="B4" s="441"/>
      <c r="C4" s="441"/>
      <c r="D4" s="441"/>
      <c r="E4" s="441"/>
      <c r="F4" s="441"/>
      <c r="G4" s="441"/>
      <c r="H4" s="441"/>
      <c r="I4" s="124"/>
      <c r="J4" s="124"/>
      <c r="K4" s="124"/>
    </row>
    <row r="5" spans="1:11" ht="18">
      <c r="A5" s="124"/>
      <c r="B5" s="124"/>
      <c r="C5" s="124"/>
      <c r="D5" s="124"/>
      <c r="E5" s="124"/>
      <c r="F5" s="124"/>
      <c r="G5" s="124"/>
      <c r="H5" s="124"/>
      <c r="I5" s="124"/>
      <c r="J5" s="124"/>
      <c r="K5" s="124"/>
    </row>
    <row r="6" spans="1:17" ht="18" customHeight="1">
      <c r="A6" s="441" t="s">
        <v>268</v>
      </c>
      <c r="B6" s="441"/>
      <c r="C6" s="441"/>
      <c r="D6" s="441"/>
      <c r="E6" s="441"/>
      <c r="F6" s="441"/>
      <c r="G6" s="441"/>
      <c r="H6" s="441"/>
      <c r="I6" s="124"/>
      <c r="J6" s="124"/>
      <c r="K6" s="163"/>
      <c r="L6" s="163"/>
      <c r="M6" s="163"/>
      <c r="N6" s="163"/>
      <c r="O6" s="163"/>
      <c r="P6" s="163"/>
      <c r="Q6" s="163"/>
    </row>
    <row r="8" spans="2:8" ht="12.75">
      <c r="B8" s="126"/>
      <c r="C8" s="127"/>
      <c r="D8" s="127"/>
      <c r="E8" s="127"/>
      <c r="F8" s="127"/>
      <c r="G8" s="127"/>
      <c r="H8" s="128"/>
    </row>
    <row r="9" spans="2:8" ht="12.75">
      <c r="B9" s="22"/>
      <c r="C9" s="6" t="s">
        <v>298</v>
      </c>
      <c r="D9" s="6"/>
      <c r="E9" s="110" t="s">
        <v>552</v>
      </c>
      <c r="F9" s="6"/>
      <c r="G9" s="6" t="s">
        <v>269</v>
      </c>
      <c r="H9" s="129"/>
    </row>
    <row r="10" spans="2:8" ht="12.75">
      <c r="B10" s="22"/>
      <c r="C10" s="6"/>
      <c r="D10" s="6"/>
      <c r="E10" s="125"/>
      <c r="F10" s="6"/>
      <c r="G10" s="6"/>
      <c r="H10" s="129"/>
    </row>
    <row r="11" spans="2:8" ht="12.75">
      <c r="B11" s="22"/>
      <c r="C11" s="6" t="s">
        <v>298</v>
      </c>
      <c r="D11" s="6"/>
      <c r="E11" s="110" t="s">
        <v>552</v>
      </c>
      <c r="F11" s="6"/>
      <c r="G11" s="6" t="s">
        <v>305</v>
      </c>
      <c r="H11" s="129"/>
    </row>
    <row r="12" spans="2:8" ht="12.75">
      <c r="B12" s="22"/>
      <c r="C12" s="6"/>
      <c r="D12" s="6"/>
      <c r="E12" s="125"/>
      <c r="F12" s="6"/>
      <c r="G12" s="6"/>
      <c r="H12" s="129"/>
    </row>
    <row r="13" spans="2:8" ht="12.75">
      <c r="B13" s="22"/>
      <c r="C13" s="6"/>
      <c r="D13" s="6"/>
      <c r="E13" s="110"/>
      <c r="F13" s="6"/>
      <c r="G13" s="6" t="s">
        <v>482</v>
      </c>
      <c r="H13" s="129"/>
    </row>
    <row r="14" spans="2:8" ht="12.75">
      <c r="B14" s="22"/>
      <c r="C14" s="6"/>
      <c r="D14" s="6"/>
      <c r="E14" s="125"/>
      <c r="F14" s="6"/>
      <c r="G14" s="6"/>
      <c r="H14" s="129"/>
    </row>
    <row r="15" spans="2:8" ht="12.75">
      <c r="B15" s="22"/>
      <c r="C15" s="6" t="s">
        <v>298</v>
      </c>
      <c r="D15" s="6"/>
      <c r="E15" s="110" t="s">
        <v>552</v>
      </c>
      <c r="F15" s="211"/>
      <c r="G15" s="6" t="s">
        <v>273</v>
      </c>
      <c r="H15" s="129"/>
    </row>
    <row r="16" spans="2:8" ht="12.75">
      <c r="B16" s="22"/>
      <c r="C16" s="6"/>
      <c r="D16" s="6"/>
      <c r="E16" s="125"/>
      <c r="F16" s="6"/>
      <c r="G16" s="6"/>
      <c r="H16" s="129"/>
    </row>
    <row r="17" spans="2:8" ht="12.75">
      <c r="B17" s="22"/>
      <c r="C17" s="6"/>
      <c r="D17" s="6"/>
      <c r="E17" s="110"/>
      <c r="F17" s="6"/>
      <c r="G17" s="226" t="s">
        <v>270</v>
      </c>
      <c r="H17" s="129"/>
    </row>
    <row r="18" spans="2:8" ht="12.75">
      <c r="B18" s="22"/>
      <c r="C18" s="6"/>
      <c r="D18" s="6"/>
      <c r="E18" s="125"/>
      <c r="F18" s="6"/>
      <c r="G18" s="6"/>
      <c r="H18" s="129"/>
    </row>
    <row r="19" spans="2:8" ht="12.75">
      <c r="B19" s="22"/>
      <c r="C19" s="6"/>
      <c r="D19" s="6"/>
      <c r="E19" s="110"/>
      <c r="F19" s="6"/>
      <c r="G19" s="226" t="s">
        <v>271</v>
      </c>
      <c r="H19" s="129"/>
    </row>
    <row r="20" spans="2:8" ht="12.75">
      <c r="B20" s="22"/>
      <c r="C20" s="6"/>
      <c r="D20" s="6"/>
      <c r="E20" s="125"/>
      <c r="F20" s="6"/>
      <c r="G20" s="6"/>
      <c r="H20" s="129"/>
    </row>
    <row r="21" spans="2:8" ht="12.75">
      <c r="B21" s="22"/>
      <c r="C21" s="6"/>
      <c r="D21" s="6"/>
      <c r="E21" s="110" t="s">
        <v>552</v>
      </c>
      <c r="F21" s="6"/>
      <c r="G21" s="394" t="s">
        <v>548</v>
      </c>
      <c r="H21" s="129"/>
    </row>
    <row r="22" spans="2:8" ht="12.75">
      <c r="B22" s="22"/>
      <c r="C22" s="6"/>
      <c r="D22" s="6"/>
      <c r="E22" s="125"/>
      <c r="F22" s="6"/>
      <c r="G22" s="6"/>
      <c r="H22" s="129"/>
    </row>
    <row r="23" spans="2:8" ht="12.75">
      <c r="B23" s="22"/>
      <c r="C23" s="6" t="s">
        <v>298</v>
      </c>
      <c r="D23" s="6"/>
      <c r="E23" s="110" t="s">
        <v>552</v>
      </c>
      <c r="F23" s="6"/>
      <c r="G23" s="16" t="s">
        <v>274</v>
      </c>
      <c r="H23" s="129"/>
    </row>
    <row r="24" spans="2:8" ht="12.75">
      <c r="B24" s="22"/>
      <c r="C24" s="6"/>
      <c r="D24" s="6"/>
      <c r="E24" s="125"/>
      <c r="F24" s="6"/>
      <c r="G24" s="6"/>
      <c r="H24" s="129"/>
    </row>
    <row r="25" spans="2:8" ht="12.75">
      <c r="B25" s="22"/>
      <c r="C25" s="6"/>
      <c r="D25" s="6"/>
      <c r="E25" s="110"/>
      <c r="F25" s="6"/>
      <c r="G25" s="394" t="s">
        <v>275</v>
      </c>
      <c r="H25" s="129"/>
    </row>
    <row r="26" spans="2:8" ht="12.75">
      <c r="B26" s="22"/>
      <c r="C26" s="6"/>
      <c r="D26" s="6"/>
      <c r="E26" s="125"/>
      <c r="F26" s="6"/>
      <c r="G26" s="6"/>
      <c r="H26" s="129"/>
    </row>
    <row r="27" spans="2:8" ht="12.75">
      <c r="B27" s="22"/>
      <c r="C27" s="6"/>
      <c r="D27" s="6"/>
      <c r="E27" s="110"/>
      <c r="F27" s="6"/>
      <c r="G27" s="227" t="s">
        <v>276</v>
      </c>
      <c r="H27" s="129"/>
    </row>
    <row r="28" spans="2:8" ht="12.75">
      <c r="B28" s="22"/>
      <c r="C28" s="6"/>
      <c r="D28" s="6"/>
      <c r="E28" s="125"/>
      <c r="F28" s="6"/>
      <c r="G28" s="226"/>
      <c r="H28" s="129"/>
    </row>
    <row r="29" spans="2:8" ht="12.75">
      <c r="B29" s="22"/>
      <c r="C29" s="6"/>
      <c r="D29" s="6"/>
      <c r="E29" s="110"/>
      <c r="F29" s="6"/>
      <c r="G29" s="227" t="s">
        <v>278</v>
      </c>
      <c r="H29" s="129"/>
    </row>
    <row r="30" spans="2:8" ht="12.75">
      <c r="B30" s="22"/>
      <c r="C30" s="6"/>
      <c r="D30" s="6"/>
      <c r="E30" s="125"/>
      <c r="F30" s="6"/>
      <c r="G30" s="227"/>
      <c r="H30" s="129"/>
    </row>
    <row r="31" spans="2:8" ht="12.75">
      <c r="B31" s="22"/>
      <c r="C31" s="6"/>
      <c r="D31" s="6"/>
      <c r="E31" s="110"/>
      <c r="F31" s="6"/>
      <c r="G31" s="227" t="s">
        <v>277</v>
      </c>
      <c r="H31" s="129"/>
    </row>
    <row r="32" spans="2:8" ht="12.75">
      <c r="B32" s="22"/>
      <c r="C32" s="6"/>
      <c r="D32" s="6"/>
      <c r="E32" s="125"/>
      <c r="F32" s="6"/>
      <c r="G32" s="6"/>
      <c r="H32" s="129"/>
    </row>
    <row r="33" spans="2:8" ht="12.75">
      <c r="B33" s="22"/>
      <c r="C33" s="6"/>
      <c r="D33" s="6"/>
      <c r="E33" s="110"/>
      <c r="F33" s="6"/>
      <c r="G33" s="227" t="s">
        <v>279</v>
      </c>
      <c r="H33" s="129"/>
    </row>
    <row r="34" spans="2:8" ht="12.75">
      <c r="B34" s="22"/>
      <c r="C34" s="6"/>
      <c r="D34" s="6"/>
      <c r="E34" s="125"/>
      <c r="F34" s="6"/>
      <c r="G34" s="6"/>
      <c r="H34" s="129"/>
    </row>
    <row r="35" spans="2:8" ht="12.75">
      <c r="B35" s="22"/>
      <c r="C35" s="6"/>
      <c r="D35" s="6"/>
      <c r="E35" s="110"/>
      <c r="F35" s="6"/>
      <c r="G35" s="227" t="s">
        <v>280</v>
      </c>
      <c r="H35" s="129"/>
    </row>
    <row r="36" spans="2:8" ht="12.75">
      <c r="B36" s="22"/>
      <c r="C36" s="6"/>
      <c r="D36" s="6"/>
      <c r="E36" s="125"/>
      <c r="F36" s="6"/>
      <c r="G36" s="6"/>
      <c r="H36" s="129"/>
    </row>
    <row r="37" spans="2:8" ht="12.75">
      <c r="B37" s="22"/>
      <c r="C37" s="6"/>
      <c r="D37" s="6"/>
      <c r="E37" s="110"/>
      <c r="F37" s="6"/>
      <c r="G37" s="227" t="s">
        <v>281</v>
      </c>
      <c r="H37" s="129"/>
    </row>
    <row r="38" spans="2:8" ht="12.75">
      <c r="B38" s="22"/>
      <c r="C38" s="6"/>
      <c r="D38" s="6"/>
      <c r="E38" s="125"/>
      <c r="F38" s="6"/>
      <c r="G38" s="6"/>
      <c r="H38" s="129"/>
    </row>
    <row r="39" spans="2:8" ht="12.75">
      <c r="B39" s="22"/>
      <c r="C39" s="6"/>
      <c r="D39" s="6"/>
      <c r="E39" s="110"/>
      <c r="F39" s="6"/>
      <c r="G39" s="232" t="s">
        <v>334</v>
      </c>
      <c r="H39" s="129"/>
    </row>
    <row r="40" spans="2:8" ht="12.75">
      <c r="B40" s="22"/>
      <c r="C40" s="6"/>
      <c r="D40" s="6"/>
      <c r="E40" s="125"/>
      <c r="F40" s="6"/>
      <c r="G40" s="233"/>
      <c r="H40" s="129"/>
    </row>
    <row r="41" spans="2:8" ht="12.75">
      <c r="B41" s="22"/>
      <c r="C41" s="6"/>
      <c r="D41" s="6"/>
      <c r="E41" s="110"/>
      <c r="F41" s="6"/>
      <c r="G41" s="232" t="s">
        <v>335</v>
      </c>
      <c r="H41" s="129"/>
    </row>
    <row r="42" spans="2:8" ht="12.75">
      <c r="B42" s="22"/>
      <c r="C42" s="6"/>
      <c r="D42" s="6"/>
      <c r="E42" s="125"/>
      <c r="F42" s="6"/>
      <c r="G42" s="6"/>
      <c r="H42" s="129"/>
    </row>
    <row r="43" spans="2:8" ht="12.75">
      <c r="B43" s="22"/>
      <c r="C43" s="6"/>
      <c r="D43" s="6"/>
      <c r="E43" s="110"/>
      <c r="F43" s="6"/>
      <c r="G43" s="227" t="s">
        <v>333</v>
      </c>
      <c r="H43" s="129"/>
    </row>
    <row r="44" spans="2:8" ht="12.75">
      <c r="B44" s="22"/>
      <c r="C44" s="6"/>
      <c r="D44" s="6"/>
      <c r="E44" s="292"/>
      <c r="F44" s="6"/>
      <c r="G44" s="227"/>
      <c r="H44" s="129"/>
    </row>
    <row r="45" spans="2:8" ht="12.75">
      <c r="B45" s="22"/>
      <c r="C45" s="6"/>
      <c r="D45" s="6"/>
      <c r="E45" s="110"/>
      <c r="F45" s="6"/>
      <c r="G45" s="394" t="s">
        <v>413</v>
      </c>
      <c r="H45" s="129"/>
    </row>
    <row r="46" spans="2:8" ht="12.75">
      <c r="B46" s="22"/>
      <c r="C46" s="6"/>
      <c r="D46" s="6"/>
      <c r="E46" s="292"/>
      <c r="F46" s="6"/>
      <c r="G46" s="226"/>
      <c r="H46" s="129"/>
    </row>
    <row r="47" spans="2:8" ht="12.75">
      <c r="B47" s="22"/>
      <c r="C47" s="6"/>
      <c r="D47" s="6"/>
      <c r="E47" s="110"/>
      <c r="F47" s="6"/>
      <c r="G47" s="16" t="s">
        <v>503</v>
      </c>
      <c r="H47" s="129"/>
    </row>
    <row r="48" spans="2:8" ht="12.75">
      <c r="B48" s="22"/>
      <c r="C48" s="6"/>
      <c r="D48" s="6"/>
      <c r="E48" s="292"/>
      <c r="F48" s="6"/>
      <c r="G48" s="226"/>
      <c r="H48" s="129"/>
    </row>
    <row r="49" spans="2:8" ht="12.75">
      <c r="B49" s="22"/>
      <c r="C49" s="6"/>
      <c r="D49" s="6"/>
      <c r="E49" s="110"/>
      <c r="F49" s="6"/>
      <c r="G49" s="394" t="s">
        <v>504</v>
      </c>
      <c r="H49" s="129"/>
    </row>
    <row r="50" spans="2:8" ht="12.75">
      <c r="B50" s="22"/>
      <c r="C50" s="6"/>
      <c r="D50" s="6"/>
      <c r="E50" s="292"/>
      <c r="F50" s="6"/>
      <c r="G50" s="226"/>
      <c r="H50" s="129"/>
    </row>
    <row r="51" spans="2:8" ht="12.75">
      <c r="B51" s="22"/>
      <c r="C51" s="6"/>
      <c r="D51" s="6"/>
      <c r="E51" s="110"/>
      <c r="F51" s="6"/>
      <c r="G51" s="394" t="s">
        <v>505</v>
      </c>
      <c r="H51" s="129"/>
    </row>
    <row r="52" spans="2:8" ht="12.75">
      <c r="B52" s="23"/>
      <c r="C52" s="122"/>
      <c r="D52" s="122"/>
      <c r="E52" s="122"/>
      <c r="F52" s="122"/>
      <c r="G52" s="122"/>
      <c r="H52" s="130"/>
    </row>
  </sheetData>
  <sheetProtection/>
  <mergeCells count="4">
    <mergeCell ref="A6:H6"/>
    <mergeCell ref="A4:H4"/>
    <mergeCell ref="A2:H2"/>
    <mergeCell ref="A1:H1"/>
  </mergeCells>
  <printOptions horizontalCentered="1"/>
  <pageMargins left="0.75" right="0.75" top="1" bottom="1" header="0.5" footer="0.5"/>
  <pageSetup fitToHeight="1" fitToWidth="1" horizontalDpi="600" verticalDpi="600" orientation="portrait" scale="94" r:id="rId1"/>
  <headerFooter alignWithMargins="0">
    <oddFooter>&amp;L&amp;8City of Chicago
Dept. of Water Management&amp;C&amp;8Permit Application&amp;R&amp;8&amp;A
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B22" sqref="B22"/>
    </sheetView>
  </sheetViews>
  <sheetFormatPr defaultColWidth="9.140625" defaultRowHeight="12.75"/>
  <cols>
    <col min="1" max="1" width="14.140625" style="0" customWidth="1"/>
    <col min="2" max="2" width="10.8515625" style="0" customWidth="1"/>
    <col min="3" max="3" width="39.00390625" style="0" customWidth="1"/>
    <col min="4" max="4" width="8.57421875" style="0" customWidth="1"/>
    <col min="5" max="5" width="37.57421875" style="0" customWidth="1"/>
    <col min="6" max="6" width="21.140625" style="0" customWidth="1"/>
    <col min="7" max="7" width="11.00390625" style="0" customWidth="1"/>
    <col min="8" max="8" width="9.140625" style="0" hidden="1" customWidth="1"/>
  </cols>
  <sheetData>
    <row r="1" spans="1:7" ht="18">
      <c r="A1" s="131" t="s">
        <v>119</v>
      </c>
      <c r="B1" s="124"/>
      <c r="D1" s="124"/>
      <c r="E1" s="124"/>
      <c r="F1" s="124"/>
      <c r="G1" s="124"/>
    </row>
    <row r="2" spans="1:7" ht="18">
      <c r="A2" s="131" t="s">
        <v>375</v>
      </c>
      <c r="B2" s="124"/>
      <c r="D2" s="124"/>
      <c r="E2" s="124"/>
      <c r="F2" s="124"/>
      <c r="G2" s="124"/>
    </row>
    <row r="3" spans="1:7" ht="12.75" customHeight="1">
      <c r="A3" s="131"/>
      <c r="B3" s="124"/>
      <c r="D3" s="124"/>
      <c r="E3" s="124"/>
      <c r="F3" s="124"/>
      <c r="G3" s="124"/>
    </row>
    <row r="4" spans="1:7" ht="12.75" customHeight="1">
      <c r="A4" t="s">
        <v>123</v>
      </c>
      <c r="B4" s="123">
        <f>IF(COVER!$D$15="","",COVER!$D$15)</f>
      </c>
      <c r="C4" s="122"/>
      <c r="D4" s="124"/>
      <c r="E4" s="124"/>
      <c r="F4" s="124"/>
      <c r="G4" s="124"/>
    </row>
    <row r="5" spans="1:7" ht="12.75" customHeight="1">
      <c r="A5" t="s">
        <v>124</v>
      </c>
      <c r="B5" s="147">
        <f>IF(COVER!$D$18="","",COVER!$D$18)</f>
      </c>
      <c r="C5" s="122"/>
      <c r="D5" s="124"/>
      <c r="E5" s="124"/>
      <c r="F5" s="124"/>
      <c r="G5" s="124"/>
    </row>
    <row r="6" spans="1:7" ht="12.75" customHeight="1">
      <c r="A6" t="s">
        <v>125</v>
      </c>
      <c r="B6" s="147">
        <f>IF(COVER!$F$21="","",COVER!$F$21)</f>
      </c>
      <c r="C6" s="122"/>
      <c r="D6" s="124"/>
      <c r="E6" s="124"/>
      <c r="F6" s="124"/>
      <c r="G6" s="124"/>
    </row>
    <row r="7" ht="11.25" customHeight="1">
      <c r="A7" s="1"/>
    </row>
    <row r="8" spans="1:4" ht="18">
      <c r="A8" s="131" t="s">
        <v>506</v>
      </c>
      <c r="B8" s="52"/>
      <c r="D8" s="52"/>
    </row>
    <row r="9" spans="2:4" ht="11.25" customHeight="1">
      <c r="B9" s="131"/>
      <c r="C9" s="52"/>
      <c r="D9" s="52"/>
    </row>
    <row r="10" spans="1:4" ht="12.75">
      <c r="A10" s="52" t="s">
        <v>521</v>
      </c>
      <c r="D10" s="52"/>
    </row>
    <row r="11" spans="1:4" ht="12.75">
      <c r="A11" s="52"/>
      <c r="D11" s="52"/>
    </row>
    <row r="12" spans="1:4" ht="12.75">
      <c r="A12" s="52" t="s">
        <v>105</v>
      </c>
      <c r="D12" s="52"/>
    </row>
    <row r="13" spans="1:4" ht="12.75">
      <c r="A13" s="8" t="s">
        <v>522</v>
      </c>
      <c r="D13" s="52"/>
    </row>
    <row r="14" spans="1:4" ht="12.75">
      <c r="A14" s="8" t="s">
        <v>523</v>
      </c>
      <c r="D14" s="52"/>
    </row>
    <row r="15" spans="1:4" ht="12.75">
      <c r="A15" s="154" t="s">
        <v>524</v>
      </c>
      <c r="D15" s="52"/>
    </row>
    <row r="16" spans="1:4" ht="12.75">
      <c r="A16" s="154" t="s">
        <v>525</v>
      </c>
      <c r="D16" s="52"/>
    </row>
    <row r="17" spans="1:4" ht="12.75">
      <c r="A17" s="8"/>
      <c r="D17" s="52"/>
    </row>
    <row r="18" spans="1:4" ht="12.75">
      <c r="A18" s="8" t="s">
        <v>531</v>
      </c>
      <c r="D18" s="52"/>
    </row>
    <row r="19" spans="1:2" ht="12.75">
      <c r="A19" s="210"/>
      <c r="B19" s="162"/>
    </row>
    <row r="20" spans="1:7" ht="12.75" customHeight="1">
      <c r="A20" s="210"/>
      <c r="B20" s="570" t="s">
        <v>514</v>
      </c>
      <c r="C20" s="469" t="s">
        <v>507</v>
      </c>
      <c r="D20" s="506" t="s">
        <v>515</v>
      </c>
      <c r="E20" s="506" t="s">
        <v>520</v>
      </c>
      <c r="F20" s="506" t="s">
        <v>516</v>
      </c>
      <c r="G20" s="506" t="s">
        <v>517</v>
      </c>
    </row>
    <row r="21" spans="1:7" ht="29.25" customHeight="1">
      <c r="A21" s="210"/>
      <c r="B21" s="571"/>
      <c r="C21" s="470"/>
      <c r="D21" s="506"/>
      <c r="E21" s="506"/>
      <c r="F21" s="506"/>
      <c r="G21" s="506"/>
    </row>
    <row r="22" spans="1:8" ht="163.5" customHeight="1">
      <c r="A22" s="210">
        <f>IF(H28&gt;1,"Error: Strategies 3.1, 3.2, 3.3 and 3.5 are mutually exclusive.  You cannot attempt points for more than one of these strategies.","")</f>
      </c>
      <c r="B22" s="403"/>
      <c r="C22" s="401" t="s">
        <v>508</v>
      </c>
      <c r="D22" s="397">
        <v>10</v>
      </c>
      <c r="E22" s="396" t="s">
        <v>526</v>
      </c>
      <c r="F22" s="404">
        <f>IF(B22="Yes","Complete Tab 1.0, Tab 2.0, Tab 3.1, Tab 3.2 and other tabs as necessary.","")</f>
      </c>
      <c r="G22" s="399">
        <f aca="true" t="shared" si="0" ref="G22:G27">IF(B22="Yes",D22,"")</f>
      </c>
      <c r="H22">
        <f>IF(B22="Yes",1,0)</f>
        <v>0</v>
      </c>
    </row>
    <row r="23" spans="1:8" ht="162" customHeight="1">
      <c r="A23" s="210"/>
      <c r="B23" s="403"/>
      <c r="C23" s="401" t="s">
        <v>509</v>
      </c>
      <c r="D23" s="397">
        <v>20</v>
      </c>
      <c r="E23" s="396" t="s">
        <v>527</v>
      </c>
      <c r="F23" s="404">
        <f>IF(B23="Yes","Complete Tab 1.0, Tab 2.0, Tab 3.1, Tab 3.2 and other tabs as necessary.","")</f>
      </c>
      <c r="G23" s="399">
        <f t="shared" si="0"/>
      </c>
      <c r="H23">
        <f>IF(B23="Yes",1,0)</f>
        <v>0</v>
      </c>
    </row>
    <row r="24" spans="1:8" ht="133.5" customHeight="1">
      <c r="A24" s="210"/>
      <c r="B24" s="403"/>
      <c r="C24" s="401" t="s">
        <v>510</v>
      </c>
      <c r="D24" s="398">
        <v>40</v>
      </c>
      <c r="E24" s="396" t="s">
        <v>528</v>
      </c>
      <c r="F24" s="404">
        <f>IF(B24="Yes","Complete Tab 1.0, Tab 2.0 and other tabs as necessary to demonstrate that the site manages stormwater by discharging 100% of its stormwater into the ground through infiltration or through a combination of infiltration and stormwater capture and re-use.","")</f>
      </c>
      <c r="G24" s="399">
        <f t="shared" si="0"/>
      </c>
      <c r="H24">
        <f>IF(B24="Yes",1,0)</f>
        <v>0</v>
      </c>
    </row>
    <row r="25" spans="1:7" ht="108.75" customHeight="1">
      <c r="A25" s="210"/>
      <c r="B25" s="403"/>
      <c r="C25" s="401" t="s">
        <v>511</v>
      </c>
      <c r="D25" s="397">
        <v>5</v>
      </c>
      <c r="E25" s="396" t="s">
        <v>519</v>
      </c>
      <c r="F25" s="404">
        <f>IF(B25="Yes","The plans must clearly show the building sump pump(s) discharging to the stormwater capture and reuse system or the detention system.  Add a narrative to the stormwater calculations describing how the system functions.","")</f>
      </c>
      <c r="G25" s="399">
        <f t="shared" si="0"/>
      </c>
    </row>
    <row r="26" spans="1:8" ht="47.25" customHeight="1">
      <c r="A26" s="210"/>
      <c r="B26" s="403"/>
      <c r="C26" s="402" t="s">
        <v>512</v>
      </c>
      <c r="D26" s="398">
        <v>5</v>
      </c>
      <c r="E26" s="396" t="s">
        <v>529</v>
      </c>
      <c r="F26" s="404">
        <f>IF(B26="Yes","Complete Tab 1.0 for the 100-year storm instead of the 10-year storm.","")</f>
      </c>
      <c r="G26" s="399">
        <f t="shared" si="0"/>
      </c>
      <c r="H26">
        <f>IF(B26="Yes",1,0)</f>
        <v>0</v>
      </c>
    </row>
    <row r="27" spans="1:7" ht="93" customHeight="1">
      <c r="A27" s="210"/>
      <c r="B27" s="403"/>
      <c r="C27" s="402" t="s">
        <v>513</v>
      </c>
      <c r="D27" s="397">
        <v>5</v>
      </c>
      <c r="E27" s="396" t="s">
        <v>530</v>
      </c>
      <c r="F27" s="404">
        <f>IF(B27="Yes","Complete Tab 1.0 for the following 3 scenerios:  1) 100-year storm for disturbed area, 2) 25-year storm for disturbed area plus upstream tributary and 3) 100-year storm for disturbed area plus upstream tributary.","")</f>
      </c>
      <c r="G27" s="399">
        <f t="shared" si="0"/>
      </c>
    </row>
    <row r="28" spans="3:8" ht="25.5" customHeight="1">
      <c r="C28" s="29"/>
      <c r="D28" s="395"/>
      <c r="E28" s="395"/>
      <c r="F28" s="405" t="s">
        <v>518</v>
      </c>
      <c r="G28" s="400">
        <f>SUM(G22:G27)</f>
        <v>0</v>
      </c>
      <c r="H28">
        <f>SUM(H22:H24)+H26</f>
        <v>0</v>
      </c>
    </row>
  </sheetData>
  <sheetProtection/>
  <mergeCells count="6">
    <mergeCell ref="B20:B21"/>
    <mergeCell ref="C20:C21"/>
    <mergeCell ref="D20:D21"/>
    <mergeCell ref="E20:E21"/>
    <mergeCell ref="F20:F21"/>
    <mergeCell ref="G20:G21"/>
  </mergeCells>
  <printOptions/>
  <pageMargins left="0.73" right="0.75" top="0.73" bottom="1" header="0.5" footer="0.5"/>
  <pageSetup fitToHeight="1" fitToWidth="1" horizontalDpi="600" verticalDpi="600" orientation="portrait" scale="64" r:id="rId1"/>
  <headerFooter alignWithMargins="0">
    <oddFooter>&amp;L&amp;8City of Chicago
Dept. of Water Management&amp;C&amp;8Permit Application&amp;R&amp;8&amp;A
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1">
      <selection activeCell="D18" sqref="D18"/>
    </sheetView>
  </sheetViews>
  <sheetFormatPr defaultColWidth="9.140625" defaultRowHeight="12.75"/>
  <cols>
    <col min="1" max="1" width="14.7109375" style="0" customWidth="1"/>
    <col min="2" max="2" width="16.140625" style="0" customWidth="1"/>
    <col min="3" max="3" width="25.421875" style="0" customWidth="1"/>
    <col min="4" max="9" width="15.8515625" style="0" customWidth="1"/>
  </cols>
  <sheetData>
    <row r="1" spans="1:7" ht="18">
      <c r="A1" s="131" t="s">
        <v>119</v>
      </c>
      <c r="B1" s="124"/>
      <c r="C1" s="124"/>
      <c r="D1" s="124"/>
      <c r="E1" s="124"/>
      <c r="F1" s="124"/>
      <c r="G1" s="124"/>
    </row>
    <row r="2" spans="1:7" ht="18">
      <c r="A2" s="131" t="s">
        <v>375</v>
      </c>
      <c r="B2" s="124"/>
      <c r="C2" s="124"/>
      <c r="D2" s="124"/>
      <c r="E2" s="124"/>
      <c r="F2" s="124"/>
      <c r="G2" s="124"/>
    </row>
    <row r="3" spans="1:7" ht="12.75" customHeight="1">
      <c r="A3" s="131"/>
      <c r="B3" s="124"/>
      <c r="C3" s="124"/>
      <c r="D3" s="124"/>
      <c r="E3" s="124"/>
      <c r="F3" s="124"/>
      <c r="G3" s="124"/>
    </row>
    <row r="4" spans="1:7" ht="12.75" customHeight="1">
      <c r="A4" t="s">
        <v>123</v>
      </c>
      <c r="B4" s="123">
        <f>IF(COVER!$D$15="","",COVER!$D$15)</f>
      </c>
      <c r="C4" s="146"/>
      <c r="D4" s="124"/>
      <c r="E4" s="124"/>
      <c r="F4" s="124"/>
      <c r="G4" s="124"/>
    </row>
    <row r="5" spans="1:7" ht="12.75" customHeight="1">
      <c r="A5" t="s">
        <v>124</v>
      </c>
      <c r="B5" s="147">
        <f>IF(COVER!$D$18="","",COVER!$D$18)</f>
      </c>
      <c r="C5" s="148"/>
      <c r="D5" s="124"/>
      <c r="E5" s="124"/>
      <c r="F5" s="124"/>
      <c r="G5" s="124"/>
    </row>
    <row r="6" spans="1:7" ht="12.75" customHeight="1">
      <c r="A6" t="s">
        <v>125</v>
      </c>
      <c r="B6" s="147">
        <f>IF(COVER!$F$21="","",COVER!$F$21)</f>
      </c>
      <c r="C6" s="148"/>
      <c r="D6" s="124"/>
      <c r="E6" s="124"/>
      <c r="F6" s="124"/>
      <c r="G6" s="124"/>
    </row>
    <row r="7" spans="2:7" ht="12.75" customHeight="1">
      <c r="B7" s="118"/>
      <c r="C7" s="124"/>
      <c r="D7" s="124"/>
      <c r="E7" s="124"/>
      <c r="F7" s="124"/>
      <c r="G7" s="124"/>
    </row>
    <row r="8" ht="18">
      <c r="A8" s="131" t="s">
        <v>504</v>
      </c>
    </row>
    <row r="9" spans="1:8" ht="12.75">
      <c r="A9" s="7" t="s">
        <v>532</v>
      </c>
      <c r="B9" s="6"/>
      <c r="C9" s="3"/>
      <c r="D9" s="3"/>
      <c r="E9" s="3"/>
      <c r="F9" s="5"/>
      <c r="G9" s="5"/>
      <c r="H9" s="5"/>
    </row>
    <row r="10" spans="1:9" ht="12.75">
      <c r="A10" s="378"/>
      <c r="B10" s="8"/>
      <c r="C10" s="7"/>
      <c r="D10" s="7"/>
      <c r="E10" s="7"/>
      <c r="F10" s="7"/>
      <c r="G10" s="7"/>
      <c r="H10" s="7"/>
      <c r="I10" s="8"/>
    </row>
    <row r="11" spans="1:9" ht="12.75">
      <c r="A11" s="7"/>
      <c r="B11" s="6"/>
      <c r="C11" s="11"/>
      <c r="D11" s="24"/>
      <c r="E11" s="25"/>
      <c r="H11" s="7"/>
      <c r="I11" s="8"/>
    </row>
    <row r="12" spans="1:9" ht="12.75">
      <c r="A12" s="27" t="s">
        <v>11</v>
      </c>
      <c r="B12" s="228" t="s">
        <v>533</v>
      </c>
      <c r="C12" s="14"/>
      <c r="D12" s="562"/>
      <c r="E12" s="564" t="s">
        <v>80</v>
      </c>
      <c r="F12" s="527" t="s">
        <v>85</v>
      </c>
      <c r="G12" s="527"/>
      <c r="H12" s="11"/>
      <c r="I12" s="16"/>
    </row>
    <row r="13" spans="1:9" ht="12.75">
      <c r="A13" s="11"/>
      <c r="B13" s="21"/>
      <c r="C13" s="11"/>
      <c r="D13" s="563"/>
      <c r="E13" s="565"/>
      <c r="F13" s="527"/>
      <c r="G13" s="527"/>
      <c r="H13" s="11"/>
      <c r="I13" s="16"/>
    </row>
    <row r="14" spans="1:9" ht="63.75">
      <c r="A14" s="17"/>
      <c r="B14" s="30"/>
      <c r="C14" s="155" t="s">
        <v>376</v>
      </c>
      <c r="D14" s="391">
        <f>'1.0 RATE CONTROL'!G72</f>
        <v>0</v>
      </c>
      <c r="E14" s="92" t="s">
        <v>59</v>
      </c>
      <c r="F14" s="150"/>
      <c r="G14" s="151"/>
      <c r="H14" s="17"/>
      <c r="I14" s="6"/>
    </row>
    <row r="15" spans="1:9" ht="25.5" customHeight="1">
      <c r="A15" s="17"/>
      <c r="B15" s="30"/>
      <c r="C15" s="33" t="s">
        <v>534</v>
      </c>
      <c r="D15" s="241">
        <f>'1.0 RATE CONTROL'!C67</f>
        <v>0</v>
      </c>
      <c r="E15" s="92" t="s">
        <v>555</v>
      </c>
      <c r="F15" s="152"/>
      <c r="G15" s="153"/>
      <c r="H15" s="17"/>
      <c r="I15" s="6"/>
    </row>
    <row r="16" spans="1:9" ht="23.25" customHeight="1">
      <c r="A16" s="17"/>
      <c r="B16" s="30"/>
      <c r="C16" s="33" t="s">
        <v>536</v>
      </c>
      <c r="D16" s="241">
        <f>IF('3.0 Sustainable Development'!H28&gt;1,"Error",IF('3.0 Sustainable Development'!B22="Yes",25,IF('3.0 Sustainable Development'!B23="Yes",50,"")))</f>
      </c>
      <c r="E16" s="92" t="s">
        <v>18</v>
      </c>
      <c r="F16" s="572">
        <f>IF(D16="Error","Correct error in Tab 3.0","")</f>
      </c>
      <c r="G16" s="573"/>
      <c r="H16" s="17"/>
      <c r="I16" s="6"/>
    </row>
    <row r="17" spans="1:9" ht="51">
      <c r="A17" s="17"/>
      <c r="B17" s="17"/>
      <c r="C17" s="33" t="s">
        <v>535</v>
      </c>
      <c r="D17" s="241">
        <f>IF(D16="","",D15*(1+(D16/100)))</f>
      </c>
      <c r="E17" s="92" t="s">
        <v>555</v>
      </c>
      <c r="F17" s="156"/>
      <c r="G17" s="157"/>
      <c r="H17" s="17"/>
      <c r="I17" s="6"/>
    </row>
    <row r="18" spans="1:9" ht="63.75">
      <c r="A18" s="17"/>
      <c r="B18" s="17"/>
      <c r="C18" s="33" t="s">
        <v>81</v>
      </c>
      <c r="D18" s="375"/>
      <c r="E18" s="92" t="s">
        <v>59</v>
      </c>
      <c r="F18" s="566">
        <f>IF(D18="","","Complete Tab 1.3 Restrictor Sizing")</f>
      </c>
      <c r="G18" s="567"/>
      <c r="H18" s="17"/>
      <c r="I18" s="6"/>
    </row>
    <row r="19" spans="1:9" ht="12.75">
      <c r="A19" s="17"/>
      <c r="B19" s="17"/>
      <c r="C19" s="33" t="s">
        <v>83</v>
      </c>
      <c r="D19" s="247">
        <f>IF(D18="","",I46)</f>
      </c>
      <c r="E19" s="91" t="s">
        <v>555</v>
      </c>
      <c r="F19" s="568">
        <f>IF(D18="","",IF(D19&lt;D17,"Exceed detention not achieved",IF(D19&gt;D17,"Exceed detention achieved"," ")))</f>
      </c>
      <c r="G19" s="568"/>
      <c r="H19" s="17"/>
      <c r="I19" s="6"/>
    </row>
    <row r="20" spans="1:9" ht="12.75">
      <c r="A20" s="17"/>
      <c r="B20" s="17"/>
      <c r="C20" s="95"/>
      <c r="D20" s="45"/>
      <c r="E20" s="93"/>
      <c r="F20" s="17"/>
      <c r="G20" s="17"/>
      <c r="H20" s="17"/>
      <c r="I20" s="6"/>
    </row>
    <row r="21" spans="1:9" ht="12.75">
      <c r="A21" s="17"/>
      <c r="B21" s="17"/>
      <c r="C21" s="95"/>
      <c r="D21" s="45"/>
      <c r="E21" s="93"/>
      <c r="F21" s="17"/>
      <c r="G21" s="17"/>
      <c r="H21" s="17"/>
      <c r="I21" s="6"/>
    </row>
    <row r="22" spans="1:9" ht="12.75">
      <c r="A22" s="17"/>
      <c r="B22" s="17"/>
      <c r="C22" s="16"/>
      <c r="D22" s="45"/>
      <c r="E22" s="16"/>
      <c r="F22" s="17"/>
      <c r="G22" s="17"/>
      <c r="H22" s="17"/>
      <c r="I22" s="6"/>
    </row>
    <row r="23" spans="1:10" ht="17.25" customHeight="1">
      <c r="A23" s="36" t="s">
        <v>537</v>
      </c>
      <c r="B23" s="74"/>
      <c r="C23" s="74"/>
      <c r="D23" s="74"/>
      <c r="E23" s="74"/>
      <c r="F23" s="74"/>
      <c r="G23" s="74"/>
      <c r="H23" s="75"/>
      <c r="I23" s="76"/>
      <c r="J23" s="35"/>
    </row>
    <row r="24" spans="1:10" ht="12.75">
      <c r="A24" s="8" t="s">
        <v>497</v>
      </c>
      <c r="B24" s="37"/>
      <c r="C24" s="37"/>
      <c r="D24" s="39"/>
      <c r="E24" s="74"/>
      <c r="F24" s="37"/>
      <c r="G24" s="37"/>
      <c r="H24" s="37"/>
      <c r="I24" s="38"/>
      <c r="J24" s="35"/>
    </row>
    <row r="25" spans="1:10" ht="13.5" thickBot="1">
      <c r="A25" s="37"/>
      <c r="B25" s="37"/>
      <c r="C25" s="53" t="s">
        <v>56</v>
      </c>
      <c r="D25" s="40"/>
      <c r="E25" s="37"/>
      <c r="F25" s="37"/>
      <c r="G25" s="37"/>
      <c r="H25" s="37"/>
      <c r="I25" s="38"/>
      <c r="J25" s="35"/>
    </row>
    <row r="26" spans="1:10" ht="29.25" customHeight="1" thickBot="1" thickTop="1">
      <c r="A26" s="74"/>
      <c r="B26" s="74"/>
      <c r="C26" s="412">
        <f>'1.0 RATE CONTROL'!C72</f>
        <v>100</v>
      </c>
      <c r="D26" s="74"/>
      <c r="E26" s="77"/>
      <c r="F26" s="78"/>
      <c r="G26" s="96">
        <f>IF(D18="",0,D18)</f>
        <v>0</v>
      </c>
      <c r="H26" s="79" t="s">
        <v>59</v>
      </c>
      <c r="I26" s="80"/>
      <c r="J26" s="35"/>
    </row>
    <row r="27" spans="1:10" ht="13.5" thickTop="1">
      <c r="A27" s="62"/>
      <c r="B27" s="62"/>
      <c r="C27" s="62"/>
      <c r="D27" s="62" t="s">
        <v>33</v>
      </c>
      <c r="E27" s="63" t="s">
        <v>34</v>
      </c>
      <c r="F27" s="63"/>
      <c r="G27" s="63" t="s">
        <v>36</v>
      </c>
      <c r="H27" s="63" t="s">
        <v>37</v>
      </c>
      <c r="I27" s="62" t="s">
        <v>37</v>
      </c>
      <c r="J27" s="35"/>
    </row>
    <row r="28" spans="1:10" ht="12.75">
      <c r="A28" s="63" t="s">
        <v>30</v>
      </c>
      <c r="B28" s="63" t="s">
        <v>31</v>
      </c>
      <c r="C28" s="63" t="s">
        <v>32</v>
      </c>
      <c r="D28" s="63" t="s">
        <v>593</v>
      </c>
      <c r="E28" s="63" t="s">
        <v>42</v>
      </c>
      <c r="F28" s="63" t="s">
        <v>35</v>
      </c>
      <c r="G28" s="63" t="s">
        <v>42</v>
      </c>
      <c r="H28" s="63" t="s">
        <v>42</v>
      </c>
      <c r="I28" s="63" t="s">
        <v>44</v>
      </c>
      <c r="J28" s="35"/>
    </row>
    <row r="29" spans="1:10" ht="12.75">
      <c r="A29" s="63" t="s">
        <v>38</v>
      </c>
      <c r="B29" s="63" t="s">
        <v>39</v>
      </c>
      <c r="C29" s="63" t="s">
        <v>40</v>
      </c>
      <c r="D29" s="63" t="s">
        <v>594</v>
      </c>
      <c r="E29" s="63" t="s">
        <v>49</v>
      </c>
      <c r="F29" s="63" t="s">
        <v>43</v>
      </c>
      <c r="G29" s="63" t="s">
        <v>586</v>
      </c>
      <c r="H29" s="63" t="s">
        <v>587</v>
      </c>
      <c r="I29" s="63" t="s">
        <v>588</v>
      </c>
      <c r="J29" s="35"/>
    </row>
    <row r="30" spans="1:10" ht="12.75">
      <c r="A30" s="64" t="s">
        <v>45</v>
      </c>
      <c r="B30" s="64" t="s">
        <v>46</v>
      </c>
      <c r="C30" s="64" t="s">
        <v>47</v>
      </c>
      <c r="D30" s="64" t="s">
        <v>48</v>
      </c>
      <c r="E30" s="64" t="s">
        <v>50</v>
      </c>
      <c r="F30" s="64" t="s">
        <v>556</v>
      </c>
      <c r="G30" s="64" t="s">
        <v>50</v>
      </c>
      <c r="H30" s="64" t="s">
        <v>50</v>
      </c>
      <c r="I30" s="64" t="s">
        <v>556</v>
      </c>
      <c r="J30" s="35"/>
    </row>
    <row r="31" spans="1:10" ht="12.75">
      <c r="A31" s="49">
        <v>5</v>
      </c>
      <c r="B31" s="81">
        <f>'1.0 RATE CONTROL'!B77</f>
        <v>0</v>
      </c>
      <c r="C31" s="82">
        <f>IF(C$26=100,IDF!L18,IF(C$26=50,IDF!J18,IF(C$26=25,IDF!H18,IF(C$26=10,IDF!F18,IF(C$26=5,IDF!D18,"invalid entry in C26")))))</f>
        <v>10.92</v>
      </c>
      <c r="D31" s="81">
        <f>'1.0 RATE CONTROL'!D77</f>
        <v>0</v>
      </c>
      <c r="E31" s="81">
        <f aca="true" t="shared" si="0" ref="E31:E45">B31*C31*D31</f>
        <v>0</v>
      </c>
      <c r="F31" s="83">
        <f aca="true" t="shared" si="1" ref="F31:F45">A31*E31*60</f>
        <v>0</v>
      </c>
      <c r="G31" s="84">
        <f>G26</f>
        <v>0</v>
      </c>
      <c r="H31" s="81">
        <f>E31-G31</f>
        <v>0</v>
      </c>
      <c r="I31" s="46">
        <f aca="true" t="shared" si="2" ref="I31:I45">H31*A31*60</f>
        <v>0</v>
      </c>
      <c r="J31" s="35"/>
    </row>
    <row r="32" spans="1:10" ht="12.75">
      <c r="A32" s="49">
        <v>10</v>
      </c>
      <c r="B32" s="81">
        <f aca="true" t="shared" si="3" ref="B32:B45">B31</f>
        <v>0</v>
      </c>
      <c r="C32" s="82">
        <f>IF(C$26=100,IDF!L19,IF(C$26=50,IDF!J19,IF(C$26=25,IDF!H19,IF(C$26=10,IDF!F19,IF(C$26=5,IDF!D19,"invalid entry in C26")))))</f>
        <v>10.02</v>
      </c>
      <c r="D32" s="67">
        <f aca="true" t="shared" si="4" ref="D32:D45">D31</f>
        <v>0</v>
      </c>
      <c r="E32" s="81">
        <f t="shared" si="0"/>
        <v>0</v>
      </c>
      <c r="F32" s="83">
        <f t="shared" si="1"/>
        <v>0</v>
      </c>
      <c r="G32" s="84">
        <f aca="true" t="shared" si="5" ref="G32:G45">G31</f>
        <v>0</v>
      </c>
      <c r="H32" s="81">
        <f aca="true" t="shared" si="6" ref="H32:H45">E32-G32</f>
        <v>0</v>
      </c>
      <c r="I32" s="46">
        <f t="shared" si="2"/>
        <v>0</v>
      </c>
      <c r="J32" s="35"/>
    </row>
    <row r="33" spans="1:10" ht="12.75">
      <c r="A33" s="49">
        <v>15</v>
      </c>
      <c r="B33" s="81">
        <f t="shared" si="3"/>
        <v>0</v>
      </c>
      <c r="C33" s="82">
        <f>IF(C$26=100,IDF!L20,IF(C$26=50,IDF!J20,IF(C$26=25,IDF!H20,IF(C$26=10,IDF!F20,IF(C$26=5,IDF!D20,"invalid entry in C26")))))</f>
        <v>8.2</v>
      </c>
      <c r="D33" s="67">
        <f t="shared" si="4"/>
        <v>0</v>
      </c>
      <c r="E33" s="81">
        <f t="shared" si="0"/>
        <v>0</v>
      </c>
      <c r="F33" s="83">
        <f t="shared" si="1"/>
        <v>0</v>
      </c>
      <c r="G33" s="84">
        <f t="shared" si="5"/>
        <v>0</v>
      </c>
      <c r="H33" s="81">
        <f t="shared" si="6"/>
        <v>0</v>
      </c>
      <c r="I33" s="46">
        <f t="shared" si="2"/>
        <v>0</v>
      </c>
      <c r="J33" s="35"/>
    </row>
    <row r="34" spans="1:10" ht="12.75">
      <c r="A34" s="49">
        <v>30</v>
      </c>
      <c r="B34" s="81">
        <f t="shared" si="3"/>
        <v>0</v>
      </c>
      <c r="C34" s="82">
        <f>IF(C$26=100,IDF!L21,IF(C$26=50,IDF!J21,IF(C$26=25,IDF!H21,IF(C$26=10,IDF!F21,IF(C$26=5,IDF!D21,"invalid entry in C26")))))</f>
        <v>5.6</v>
      </c>
      <c r="D34" s="67">
        <f t="shared" si="4"/>
        <v>0</v>
      </c>
      <c r="E34" s="81">
        <f t="shared" si="0"/>
        <v>0</v>
      </c>
      <c r="F34" s="83">
        <f t="shared" si="1"/>
        <v>0</v>
      </c>
      <c r="G34" s="84">
        <f t="shared" si="5"/>
        <v>0</v>
      </c>
      <c r="H34" s="81">
        <f t="shared" si="6"/>
        <v>0</v>
      </c>
      <c r="I34" s="46">
        <f t="shared" si="2"/>
        <v>0</v>
      </c>
      <c r="J34" s="35"/>
    </row>
    <row r="35" spans="1:10" ht="12.75">
      <c r="A35" s="49">
        <v>60</v>
      </c>
      <c r="B35" s="81">
        <f t="shared" si="3"/>
        <v>0</v>
      </c>
      <c r="C35" s="82">
        <f>IF(C$26=100,IDF!L22,IF(C$26=50,IDF!J22,IF(C$26=25,IDF!H22,IF(C$26=10,IDF!F22,IF(C$26=5,IDF!D22,"invalid entry in C26")))))</f>
        <v>3.56</v>
      </c>
      <c r="D35" s="67">
        <f t="shared" si="4"/>
        <v>0</v>
      </c>
      <c r="E35" s="81">
        <f t="shared" si="0"/>
        <v>0</v>
      </c>
      <c r="F35" s="83">
        <f t="shared" si="1"/>
        <v>0</v>
      </c>
      <c r="G35" s="84">
        <f t="shared" si="5"/>
        <v>0</v>
      </c>
      <c r="H35" s="81">
        <f t="shared" si="6"/>
        <v>0</v>
      </c>
      <c r="I35" s="46">
        <f t="shared" si="2"/>
        <v>0</v>
      </c>
      <c r="J35" s="35"/>
    </row>
    <row r="36" spans="1:10" ht="12.75">
      <c r="A36" s="49">
        <f>2*60</f>
        <v>120</v>
      </c>
      <c r="B36" s="81">
        <f t="shared" si="3"/>
        <v>0</v>
      </c>
      <c r="C36" s="82">
        <f>IF(C$26=100,IDF!L23,IF(C$26=50,IDF!J23,IF(C$26=25,IDF!H23,IF(C$26=10,IDF!F23,IF(C$26=5,IDF!D23,"invalid entry in C26")))))</f>
        <v>2.235</v>
      </c>
      <c r="D36" s="67">
        <f t="shared" si="4"/>
        <v>0</v>
      </c>
      <c r="E36" s="81">
        <f t="shared" si="0"/>
        <v>0</v>
      </c>
      <c r="F36" s="83">
        <f t="shared" si="1"/>
        <v>0</v>
      </c>
      <c r="G36" s="84">
        <f t="shared" si="5"/>
        <v>0</v>
      </c>
      <c r="H36" s="81">
        <f t="shared" si="6"/>
        <v>0</v>
      </c>
      <c r="I36" s="46">
        <f t="shared" si="2"/>
        <v>0</v>
      </c>
      <c r="J36" s="35"/>
    </row>
    <row r="37" spans="1:10" ht="12.75">
      <c r="A37" s="49">
        <f>3*60</f>
        <v>180</v>
      </c>
      <c r="B37" s="81">
        <f t="shared" si="3"/>
        <v>0</v>
      </c>
      <c r="C37" s="82">
        <f>IF(C$26=100,IDF!L24,IF(C$26=50,IDF!J24,IF(C$26=25,IDF!H24,IF(C$26=10,IDF!F24,IF(C$26=5,IDF!D24,"invalid entry in C26")))))</f>
        <v>1.6166666666666665</v>
      </c>
      <c r="D37" s="67">
        <f t="shared" si="4"/>
        <v>0</v>
      </c>
      <c r="E37" s="81">
        <f t="shared" si="0"/>
        <v>0</v>
      </c>
      <c r="F37" s="83">
        <f t="shared" si="1"/>
        <v>0</v>
      </c>
      <c r="G37" s="84">
        <f t="shared" si="5"/>
        <v>0</v>
      </c>
      <c r="H37" s="81">
        <f t="shared" si="6"/>
        <v>0</v>
      </c>
      <c r="I37" s="46">
        <f t="shared" si="2"/>
        <v>0</v>
      </c>
      <c r="J37" s="35"/>
    </row>
    <row r="38" spans="1:10" ht="12.75">
      <c r="A38" s="49">
        <f>6*60</f>
        <v>360</v>
      </c>
      <c r="B38" s="81">
        <f t="shared" si="3"/>
        <v>0</v>
      </c>
      <c r="C38" s="82">
        <f>IF(C$26=100,IDF!L25,IF(C$26=50,IDF!J25,IF(C$26=25,IDF!H25,IF(C$26=10,IDF!F25,IF(C$26=5,IDF!D25,"invalid entry in C26")))))</f>
        <v>0.9466666666666665</v>
      </c>
      <c r="D38" s="67">
        <f t="shared" si="4"/>
        <v>0</v>
      </c>
      <c r="E38" s="81">
        <f t="shared" si="0"/>
        <v>0</v>
      </c>
      <c r="F38" s="83">
        <f t="shared" si="1"/>
        <v>0</v>
      </c>
      <c r="G38" s="84">
        <f t="shared" si="5"/>
        <v>0</v>
      </c>
      <c r="H38" s="81">
        <f t="shared" si="6"/>
        <v>0</v>
      </c>
      <c r="I38" s="46">
        <f t="shared" si="2"/>
        <v>0</v>
      </c>
      <c r="J38" s="35"/>
    </row>
    <row r="39" spans="1:10" ht="12.75">
      <c r="A39" s="49">
        <f>12*60</f>
        <v>720</v>
      </c>
      <c r="B39" s="81">
        <f t="shared" si="3"/>
        <v>0</v>
      </c>
      <c r="C39" s="82">
        <f>IF(C$26=100,IDF!L26,IF(C$26=50,IDF!J26,IF(C$26=25,IDF!H26,IF(C$26=10,IDF!F26,IF(C$26=5,IDF!D26,"invalid entry in C26")))))</f>
        <v>0.5491666666666666</v>
      </c>
      <c r="D39" s="67">
        <f t="shared" si="4"/>
        <v>0</v>
      </c>
      <c r="E39" s="81">
        <f t="shared" si="0"/>
        <v>0</v>
      </c>
      <c r="F39" s="83">
        <f t="shared" si="1"/>
        <v>0</v>
      </c>
      <c r="G39" s="84">
        <f t="shared" si="5"/>
        <v>0</v>
      </c>
      <c r="H39" s="81">
        <f t="shared" si="6"/>
        <v>0</v>
      </c>
      <c r="I39" s="46">
        <f t="shared" si="2"/>
        <v>0</v>
      </c>
      <c r="J39" s="35"/>
    </row>
    <row r="40" spans="1:10" ht="12.75">
      <c r="A40" s="49">
        <f>18*60</f>
        <v>1080</v>
      </c>
      <c r="B40" s="81">
        <f t="shared" si="3"/>
        <v>0</v>
      </c>
      <c r="C40" s="82">
        <f>IF(C$26=100,IDF!L27,IF(C$26=50,IDF!J27,IF(C$26=25,IDF!H27,IF(C$26=10,IDF!F27,IF(C$26=5,IDF!D27,"invalid entry in C26")))))</f>
        <v>0.3872222222222222</v>
      </c>
      <c r="D40" s="67">
        <f t="shared" si="4"/>
        <v>0</v>
      </c>
      <c r="E40" s="81">
        <f t="shared" si="0"/>
        <v>0</v>
      </c>
      <c r="F40" s="83">
        <f t="shared" si="1"/>
        <v>0</v>
      </c>
      <c r="G40" s="84">
        <f t="shared" si="5"/>
        <v>0</v>
      </c>
      <c r="H40" s="81">
        <f t="shared" si="6"/>
        <v>0</v>
      </c>
      <c r="I40" s="46">
        <f t="shared" si="2"/>
        <v>0</v>
      </c>
      <c r="J40" s="35"/>
    </row>
    <row r="41" spans="1:10" ht="12.75">
      <c r="A41" s="49">
        <f>24*60</f>
        <v>1440</v>
      </c>
      <c r="B41" s="81">
        <f t="shared" si="3"/>
        <v>0</v>
      </c>
      <c r="C41" s="82">
        <f>IF(C$26=100,IDF!L28,IF(C$26=50,IDF!J28,IF(C$26=25,IDF!H28,IF(C$26=10,IDF!F28,IF(C$26=5,IDF!D28,"invalid entry in C26")))))</f>
        <v>0.3158333333333333</v>
      </c>
      <c r="D41" s="67">
        <f t="shared" si="4"/>
        <v>0</v>
      </c>
      <c r="E41" s="81">
        <f t="shared" si="0"/>
        <v>0</v>
      </c>
      <c r="F41" s="83">
        <f t="shared" si="1"/>
        <v>0</v>
      </c>
      <c r="G41" s="84">
        <f t="shared" si="5"/>
        <v>0</v>
      </c>
      <c r="H41" s="81">
        <f t="shared" si="6"/>
        <v>0</v>
      </c>
      <c r="I41" s="46">
        <f t="shared" si="2"/>
        <v>0</v>
      </c>
      <c r="J41" s="35"/>
    </row>
    <row r="42" spans="1:10" ht="12.75">
      <c r="A42" s="49">
        <f>48*60</f>
        <v>2880</v>
      </c>
      <c r="B42" s="81">
        <f t="shared" si="3"/>
        <v>0</v>
      </c>
      <c r="C42" s="82">
        <f>IF(C$26=100,IDF!L29,IF(C$26=50,IDF!J29,IF(C$26=25,IDF!H29,IF(C$26=10,IDF!F29,IF(C$26=5,IDF!D29,"invalid entry in C26")))))</f>
        <v>0.16999999999999998</v>
      </c>
      <c r="D42" s="67">
        <f t="shared" si="4"/>
        <v>0</v>
      </c>
      <c r="E42" s="81">
        <f t="shared" si="0"/>
        <v>0</v>
      </c>
      <c r="F42" s="83">
        <f t="shared" si="1"/>
        <v>0</v>
      </c>
      <c r="G42" s="84">
        <f t="shared" si="5"/>
        <v>0</v>
      </c>
      <c r="H42" s="81">
        <f t="shared" si="6"/>
        <v>0</v>
      </c>
      <c r="I42" s="46">
        <f t="shared" si="2"/>
        <v>0</v>
      </c>
      <c r="J42" s="35"/>
    </row>
    <row r="43" spans="1:10" ht="12.75">
      <c r="A43" s="49">
        <f>72*60</f>
        <v>4320</v>
      </c>
      <c r="B43" s="81">
        <f t="shared" si="3"/>
        <v>0</v>
      </c>
      <c r="C43" s="82">
        <f>IF(C$26=100,IDF!L30,IF(C$26=50,IDF!J30,IF(C$26=25,IDF!H30,IF(C$26=10,IDF!F30,IF(C$26=5,IDF!D30,"invalid entry in C26")))))</f>
        <v>0.12194444444444442</v>
      </c>
      <c r="D43" s="67">
        <f t="shared" si="4"/>
        <v>0</v>
      </c>
      <c r="E43" s="81">
        <f t="shared" si="0"/>
        <v>0</v>
      </c>
      <c r="F43" s="83">
        <f t="shared" si="1"/>
        <v>0</v>
      </c>
      <c r="G43" s="84">
        <f t="shared" si="5"/>
        <v>0</v>
      </c>
      <c r="H43" s="81">
        <f t="shared" si="6"/>
        <v>0</v>
      </c>
      <c r="I43" s="46">
        <f t="shared" si="2"/>
        <v>0</v>
      </c>
      <c r="J43" s="35"/>
    </row>
    <row r="44" spans="1:10" ht="12.75">
      <c r="A44" s="49">
        <f>5*24*60</f>
        <v>7200</v>
      </c>
      <c r="B44" s="81">
        <f t="shared" si="3"/>
        <v>0</v>
      </c>
      <c r="C44" s="82">
        <f>IF(C$26=100,IDF!L31,IF(C$26=50,IDF!J31,IF(C$26=25,IDF!H31,IF(C$26=10,IDF!F31,IF(C$26=5,IDF!D31,"invalid entry in C26")))))</f>
        <v>0.083</v>
      </c>
      <c r="D44" s="67">
        <f t="shared" si="4"/>
        <v>0</v>
      </c>
      <c r="E44" s="81">
        <f t="shared" si="0"/>
        <v>0</v>
      </c>
      <c r="F44" s="83">
        <f t="shared" si="1"/>
        <v>0</v>
      </c>
      <c r="G44" s="84">
        <f t="shared" si="5"/>
        <v>0</v>
      </c>
      <c r="H44" s="81">
        <f t="shared" si="6"/>
        <v>0</v>
      </c>
      <c r="I44" s="46">
        <f t="shared" si="2"/>
        <v>0</v>
      </c>
      <c r="J44" s="35"/>
    </row>
    <row r="45" spans="1:10" ht="12.75">
      <c r="A45" s="49">
        <f>10*24*60</f>
        <v>14400</v>
      </c>
      <c r="B45" s="81">
        <f t="shared" si="3"/>
        <v>0</v>
      </c>
      <c r="C45" s="82">
        <f>IF(C$26=100,IDF!L32,IF(C$26=50,IDF!J32,IF(C$26=25,IDF!H32,IF(C$26=10,IDF!F32,IF(C$26=5,IDF!D32,"invalid entry in C26")))))</f>
        <v>0.04641666666666667</v>
      </c>
      <c r="D45" s="67">
        <f t="shared" si="4"/>
        <v>0</v>
      </c>
      <c r="E45" s="81">
        <f t="shared" si="0"/>
        <v>0</v>
      </c>
      <c r="F45" s="83">
        <f t="shared" si="1"/>
        <v>0</v>
      </c>
      <c r="G45" s="84">
        <f t="shared" si="5"/>
        <v>0</v>
      </c>
      <c r="H45" s="81">
        <f t="shared" si="6"/>
        <v>0</v>
      </c>
      <c r="I45" s="46">
        <f t="shared" si="2"/>
        <v>0</v>
      </c>
      <c r="J45" s="35"/>
    </row>
    <row r="46" spans="1:10" ht="25.5">
      <c r="A46" s="75"/>
      <c r="B46" s="75"/>
      <c r="C46" s="75"/>
      <c r="D46" s="75"/>
      <c r="E46" s="75"/>
      <c r="F46" s="35"/>
      <c r="G46" s="74"/>
      <c r="H46" s="41" t="s">
        <v>51</v>
      </c>
      <c r="I46" s="46">
        <f>MAX(I31:I45)</f>
        <v>0</v>
      </c>
      <c r="J46" s="35"/>
    </row>
    <row r="47" spans="1:10" ht="12.75">
      <c r="A47" s="75" t="s">
        <v>52</v>
      </c>
      <c r="B47" s="75"/>
      <c r="C47" s="75"/>
      <c r="D47" s="75"/>
      <c r="E47" s="75"/>
      <c r="F47" s="75"/>
      <c r="G47" s="75"/>
      <c r="H47" s="75"/>
      <c r="I47" s="85"/>
      <c r="J47" s="35"/>
    </row>
    <row r="48" spans="2:10" ht="12.75">
      <c r="B48" s="75"/>
      <c r="C48" s="75"/>
      <c r="D48" s="75"/>
      <c r="E48" s="75"/>
      <c r="F48" s="75"/>
      <c r="G48" s="75"/>
      <c r="H48" s="75"/>
      <c r="I48" s="76"/>
      <c r="J48" s="35"/>
    </row>
  </sheetData>
  <sheetProtection/>
  <mergeCells count="6">
    <mergeCell ref="D12:D13"/>
    <mergeCell ref="E12:E13"/>
    <mergeCell ref="F12:G13"/>
    <mergeCell ref="F18:G18"/>
    <mergeCell ref="F19:G19"/>
    <mergeCell ref="F16:G16"/>
  </mergeCells>
  <conditionalFormatting sqref="D19">
    <cfRule type="cellIs" priority="1" dxfId="3" operator="greaterThan" stopIfTrue="1">
      <formula>$D$17</formula>
    </cfRule>
    <cfRule type="cellIs" priority="2" dxfId="2" operator="lessThan" stopIfTrue="1">
      <formula>$D$17</formula>
    </cfRule>
    <cfRule type="cellIs" priority="3" dxfId="1" operator="notEqual" stopIfTrue="1">
      <formula>$D$17</formula>
    </cfRule>
  </conditionalFormatting>
  <conditionalFormatting sqref="I31:I46">
    <cfRule type="cellIs" priority="4" dxfId="0" operator="equal" stopIfTrue="1">
      <formula>$I$46</formula>
    </cfRule>
  </conditionalFormatting>
  <printOptions/>
  <pageMargins left="0.75" right="0.75" top="1" bottom="1" header="0.5" footer="0.5"/>
  <pageSetup fitToHeight="1" fitToWidth="1" horizontalDpi="600" verticalDpi="600" orientation="portrait" scale="50" r:id="rId3"/>
  <headerFooter alignWithMargins="0">
    <oddFooter>&amp;L&amp;8City of Chicago
Dept. of Water Management&amp;C&amp;8Permit Application&amp;R&amp;8&amp;A
Page &amp;P</oddFoot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I18"/>
  <sheetViews>
    <sheetView showGridLines="0" zoomScalePageLayoutView="0" workbookViewId="0" topLeftCell="A1">
      <selection activeCell="B7" sqref="B7"/>
    </sheetView>
  </sheetViews>
  <sheetFormatPr defaultColWidth="9.140625" defaultRowHeight="12.75"/>
  <cols>
    <col min="1" max="1" width="17.28125" style="0" customWidth="1"/>
    <col min="2" max="2" width="17.57421875" style="0" customWidth="1"/>
    <col min="3" max="3" width="31.57421875" style="0" customWidth="1"/>
    <col min="4" max="4" width="17.57421875" style="0" customWidth="1"/>
    <col min="5" max="5" width="17.00390625" style="0" customWidth="1"/>
    <col min="6" max="6" width="17.7109375" style="0" customWidth="1"/>
    <col min="7" max="7" width="17.421875" style="0" customWidth="1"/>
    <col min="8" max="8" width="24.7109375" style="0" customWidth="1"/>
    <col min="9" max="9" width="18.7109375" style="0" customWidth="1"/>
  </cols>
  <sheetData>
    <row r="1" spans="1:7" ht="18">
      <c r="A1" s="131" t="s">
        <v>119</v>
      </c>
      <c r="B1" s="124"/>
      <c r="C1" s="124"/>
      <c r="D1" s="124"/>
      <c r="E1" s="124"/>
      <c r="F1" s="124"/>
      <c r="G1" s="124"/>
    </row>
    <row r="2" spans="1:7" ht="18">
      <c r="A2" s="131" t="s">
        <v>375</v>
      </c>
      <c r="B2" s="124"/>
      <c r="C2" s="124"/>
      <c r="D2" s="124"/>
      <c r="E2" s="124"/>
      <c r="F2" s="124"/>
      <c r="G2" s="124"/>
    </row>
    <row r="3" spans="1:7" ht="12.75" customHeight="1">
      <c r="A3" s="131"/>
      <c r="B3" s="124"/>
      <c r="C3" s="124"/>
      <c r="D3" s="124"/>
      <c r="E3" s="124"/>
      <c r="F3" s="124"/>
      <c r="G3" s="124"/>
    </row>
    <row r="4" spans="1:7" ht="12.75" customHeight="1">
      <c r="A4" t="s">
        <v>123</v>
      </c>
      <c r="B4" s="123">
        <f>IF(COVER!$D$15="","",COVER!$D$15)</f>
      </c>
      <c r="C4" s="146"/>
      <c r="D4" s="124"/>
      <c r="E4" s="124"/>
      <c r="F4" s="124"/>
      <c r="G4" s="124"/>
    </row>
    <row r="5" spans="1:7" ht="12.75" customHeight="1">
      <c r="A5" t="s">
        <v>124</v>
      </c>
      <c r="B5" s="147">
        <f>IF(COVER!$D$18="","",COVER!$D$18)</f>
      </c>
      <c r="C5" s="148"/>
      <c r="D5" s="124"/>
      <c r="E5" s="124"/>
      <c r="F5" s="124"/>
      <c r="G5" s="124"/>
    </row>
    <row r="6" spans="1:7" ht="12.75" customHeight="1">
      <c r="A6" t="s">
        <v>125</v>
      </c>
      <c r="B6" s="147">
        <f>IF(COVER!$F$21="","",COVER!$F$21)</f>
      </c>
      <c r="C6" s="148"/>
      <c r="D6" s="124"/>
      <c r="E6" s="124"/>
      <c r="F6" s="124"/>
      <c r="G6" s="124"/>
    </row>
    <row r="7" spans="2:7" ht="12.75" customHeight="1">
      <c r="B7" s="118"/>
      <c r="C7" s="124"/>
      <c r="D7" s="124"/>
      <c r="E7" s="124"/>
      <c r="F7" s="124"/>
      <c r="G7" s="124"/>
    </row>
    <row r="8" ht="18">
      <c r="A8" s="131" t="s">
        <v>505</v>
      </c>
    </row>
    <row r="9" spans="1:8" ht="12.75">
      <c r="A9" s="7" t="s">
        <v>538</v>
      </c>
      <c r="B9" s="6"/>
      <c r="C9" s="3"/>
      <c r="D9" s="3"/>
      <c r="E9" s="3"/>
      <c r="F9" s="5"/>
      <c r="G9" s="5"/>
      <c r="H9" s="5"/>
    </row>
    <row r="10" spans="1:9" ht="12.75">
      <c r="A10" s="378"/>
      <c r="B10" s="8"/>
      <c r="C10" s="7"/>
      <c r="D10" s="7"/>
      <c r="E10" s="7"/>
      <c r="F10" s="7"/>
      <c r="G10" s="7"/>
      <c r="H10" s="7"/>
      <c r="I10" s="8"/>
    </row>
    <row r="11" spans="1:9" ht="12.75">
      <c r="A11" s="7"/>
      <c r="B11" s="6"/>
      <c r="C11" s="11"/>
      <c r="D11" s="24"/>
      <c r="E11" s="25"/>
      <c r="H11" s="7"/>
      <c r="I11" s="8"/>
    </row>
    <row r="12" spans="1:9" ht="12.75">
      <c r="A12" s="27"/>
      <c r="B12" s="228" t="s">
        <v>541</v>
      </c>
      <c r="C12" s="14"/>
      <c r="D12" s="562"/>
      <c r="E12" s="564" t="s">
        <v>80</v>
      </c>
      <c r="F12" s="527" t="s">
        <v>85</v>
      </c>
      <c r="G12" s="527"/>
      <c r="H12" s="11"/>
      <c r="I12" s="16"/>
    </row>
    <row r="13" spans="1:9" ht="12.75">
      <c r="A13" s="11"/>
      <c r="B13" s="21"/>
      <c r="C13" s="11"/>
      <c r="D13" s="563"/>
      <c r="E13" s="565"/>
      <c r="F13" s="527"/>
      <c r="G13" s="527"/>
      <c r="H13" s="11"/>
      <c r="I13" s="16"/>
    </row>
    <row r="14" spans="1:9" ht="25.5" customHeight="1">
      <c r="A14" s="17"/>
      <c r="B14" s="30"/>
      <c r="C14" s="33" t="s">
        <v>539</v>
      </c>
      <c r="D14" s="241">
        <f>'2.0 VOLUME CONTROL'!C47</f>
        <v>0</v>
      </c>
      <c r="E14" s="92" t="s">
        <v>54</v>
      </c>
      <c r="F14" s="152"/>
      <c r="G14" s="153"/>
      <c r="H14" s="17"/>
      <c r="I14" s="6"/>
    </row>
    <row r="15" spans="1:9" ht="23.25" customHeight="1">
      <c r="A15" s="17"/>
      <c r="B15" s="30"/>
      <c r="C15" s="92" t="s">
        <v>536</v>
      </c>
      <c r="D15" s="241">
        <f>IF('3.0 Sustainable Development'!H28&gt;1,"Error",IF('3.0 Sustainable Development'!B22="Yes",25,IF('3.0 Sustainable Development'!B23="Yes",50,"")))</f>
      </c>
      <c r="E15" s="92" t="s">
        <v>18</v>
      </c>
      <c r="F15" s="572">
        <f>IF(D15="Error","Correct error in Tab 3.0","")</f>
      </c>
      <c r="G15" s="573"/>
      <c r="H15" s="17"/>
      <c r="I15" s="6"/>
    </row>
    <row r="16" spans="1:9" ht="38.25">
      <c r="A16" s="17"/>
      <c r="B16" s="17"/>
      <c r="C16" s="33" t="s">
        <v>540</v>
      </c>
      <c r="D16" s="241">
        <f>IF(D15="","",D14*(1+(D15/100)))</f>
      </c>
      <c r="E16" s="92" t="s">
        <v>54</v>
      </c>
      <c r="F16" s="406"/>
      <c r="G16" s="407"/>
      <c r="H16" s="17"/>
      <c r="I16" s="6"/>
    </row>
    <row r="17" spans="1:9" ht="12.75">
      <c r="A17" s="17"/>
      <c r="B17" s="17"/>
      <c r="C17" s="95"/>
      <c r="D17" s="45"/>
      <c r="E17" s="93"/>
      <c r="F17" s="17"/>
      <c r="G17" s="17"/>
      <c r="H17" s="17"/>
      <c r="I17" s="6"/>
    </row>
    <row r="18" spans="1:9" ht="12.75">
      <c r="A18" s="17"/>
      <c r="B18" s="17"/>
      <c r="C18" s="95"/>
      <c r="D18" s="45"/>
      <c r="E18" s="93"/>
      <c r="F18" s="17"/>
      <c r="G18" s="17"/>
      <c r="H18" s="17"/>
      <c r="I18" s="6"/>
    </row>
  </sheetData>
  <sheetProtection/>
  <mergeCells count="4">
    <mergeCell ref="D12:D13"/>
    <mergeCell ref="E12:E13"/>
    <mergeCell ref="F12:G13"/>
    <mergeCell ref="F15:G15"/>
  </mergeCells>
  <printOptions/>
  <pageMargins left="0.75" right="0.75" top="1" bottom="1" header="0.5" footer="0.5"/>
  <pageSetup fitToHeight="1" fitToWidth="1" horizontalDpi="600" verticalDpi="600" orientation="portrait" scale="66" r:id="rId1"/>
  <headerFooter alignWithMargins="0">
    <oddFooter>&amp;L&amp;8City of Chicago
Dept. of Water Management&amp;C&amp;8Permit Application&amp;R&amp;8&amp;A
Page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B7" sqref="B7"/>
    </sheetView>
  </sheetViews>
  <sheetFormatPr defaultColWidth="9.140625" defaultRowHeight="12.75"/>
  <cols>
    <col min="1" max="1" width="15.140625" style="0" customWidth="1"/>
    <col min="2" max="2" width="11.140625" style="0" customWidth="1"/>
    <col min="3" max="3" width="9.00390625" style="0" customWidth="1"/>
    <col min="5" max="5" width="9.140625" style="0" customWidth="1"/>
    <col min="7" max="7" width="9.140625" style="0" customWidth="1"/>
    <col min="9" max="9" width="9.140625" style="0" customWidth="1"/>
    <col min="11" max="11" width="9.140625" style="0" customWidth="1"/>
  </cols>
  <sheetData>
    <row r="1" spans="1:13" ht="18">
      <c r="A1" s="131" t="s">
        <v>119</v>
      </c>
      <c r="B1" s="124"/>
      <c r="C1" s="124"/>
      <c r="D1" s="124"/>
      <c r="E1" s="124"/>
      <c r="F1" s="124"/>
      <c r="G1" s="124"/>
      <c r="H1" s="124"/>
      <c r="I1" s="124"/>
      <c r="J1" s="124"/>
      <c r="K1" s="124"/>
      <c r="L1" s="124"/>
      <c r="M1" s="124"/>
    </row>
    <row r="2" spans="1:13" ht="18">
      <c r="A2" s="131" t="s">
        <v>375</v>
      </c>
      <c r="B2" s="124"/>
      <c r="C2" s="124"/>
      <c r="D2" s="124"/>
      <c r="E2" s="124"/>
      <c r="F2" s="124"/>
      <c r="G2" s="124"/>
      <c r="H2" s="124"/>
      <c r="I2" s="124"/>
      <c r="J2" s="124"/>
      <c r="K2" s="124"/>
      <c r="L2" s="124"/>
      <c r="M2" s="124"/>
    </row>
    <row r="3" spans="1:13" ht="12.75" customHeight="1">
      <c r="A3" s="131"/>
      <c r="B3" s="124"/>
      <c r="C3" s="124"/>
      <c r="D3" s="124"/>
      <c r="E3" s="124"/>
      <c r="F3" s="124"/>
      <c r="G3" s="124"/>
      <c r="H3" s="124"/>
      <c r="I3" s="124"/>
      <c r="J3" s="124"/>
      <c r="K3" s="124"/>
      <c r="L3" s="124"/>
      <c r="M3" s="124"/>
    </row>
    <row r="4" spans="1:13" ht="12.75" customHeight="1">
      <c r="A4" t="s">
        <v>123</v>
      </c>
      <c r="B4" s="123">
        <f>IF(COVER!$D$15="","",COVER!$D$15)</f>
      </c>
      <c r="C4" s="123"/>
      <c r="D4" s="146"/>
      <c r="E4" s="208"/>
      <c r="F4" s="124"/>
      <c r="G4" s="124"/>
      <c r="H4" s="124"/>
      <c r="I4" s="124"/>
      <c r="J4" s="124"/>
      <c r="K4" s="124"/>
      <c r="L4" s="124"/>
      <c r="M4" s="124"/>
    </row>
    <row r="5" spans="1:13" ht="12.75" customHeight="1">
      <c r="A5" t="s">
        <v>124</v>
      </c>
      <c r="B5" s="147">
        <f>IF(COVER!$D$18="","",COVER!$D$18)</f>
      </c>
      <c r="C5" s="147"/>
      <c r="D5" s="148"/>
      <c r="E5" s="208"/>
      <c r="F5" s="124"/>
      <c r="G5" s="124"/>
      <c r="H5" s="124"/>
      <c r="I5" s="124"/>
      <c r="J5" s="124"/>
      <c r="K5" s="124"/>
      <c r="L5" s="124"/>
      <c r="M5" s="124"/>
    </row>
    <row r="6" spans="1:13" ht="12.75" customHeight="1">
      <c r="A6" t="s">
        <v>125</v>
      </c>
      <c r="B6" s="147">
        <f>IF(COVER!$F$21="","",COVER!$F$21)</f>
      </c>
      <c r="C6" s="147"/>
      <c r="D6" s="148"/>
      <c r="E6" s="208"/>
      <c r="F6" s="124"/>
      <c r="G6" s="124"/>
      <c r="H6" s="124"/>
      <c r="I6" s="124"/>
      <c r="J6" s="124"/>
      <c r="K6" s="124"/>
      <c r="L6" s="124"/>
      <c r="M6" s="124"/>
    </row>
    <row r="7" spans="2:13" ht="12.75" customHeight="1">
      <c r="B7" s="118"/>
      <c r="C7" s="118"/>
      <c r="D7" s="208"/>
      <c r="E7" s="208"/>
      <c r="F7" s="124"/>
      <c r="G7" s="124"/>
      <c r="H7" s="124"/>
      <c r="I7" s="124"/>
      <c r="J7" s="124"/>
      <c r="K7" s="124"/>
      <c r="L7" s="124"/>
      <c r="M7" s="124"/>
    </row>
    <row r="8" spans="1:3" ht="12.75">
      <c r="A8" t="s">
        <v>267</v>
      </c>
      <c r="B8" s="52"/>
      <c r="C8" s="52"/>
    </row>
    <row r="9" spans="2:3" ht="12.75">
      <c r="B9" s="52"/>
      <c r="C9" s="52"/>
    </row>
    <row r="10" ht="18">
      <c r="A10" s="131" t="s">
        <v>127</v>
      </c>
    </row>
    <row r="11" spans="1:2" ht="18">
      <c r="A11" s="131"/>
      <c r="B11" s="390" t="s">
        <v>497</v>
      </c>
    </row>
    <row r="13" spans="3:12" ht="24.75" customHeight="1">
      <c r="C13" s="507" t="s">
        <v>481</v>
      </c>
      <c r="D13" s="508"/>
      <c r="E13" s="508"/>
      <c r="F13" s="508"/>
      <c r="G13" s="508"/>
      <c r="H13" s="508"/>
      <c r="I13" s="508"/>
      <c r="J13" s="508"/>
      <c r="K13" s="508"/>
      <c r="L13" s="509"/>
    </row>
    <row r="14" spans="2:12" ht="12.75" hidden="1">
      <c r="B14" s="386"/>
      <c r="C14" s="386"/>
      <c r="D14" s="429">
        <v>5</v>
      </c>
      <c r="E14" s="386"/>
      <c r="F14" s="429">
        <v>10</v>
      </c>
      <c r="G14" s="386"/>
      <c r="H14" s="429">
        <v>25</v>
      </c>
      <c r="I14" s="386"/>
      <c r="J14" s="429">
        <v>50</v>
      </c>
      <c r="K14" s="386"/>
      <c r="L14" s="429">
        <v>100</v>
      </c>
    </row>
    <row r="15" spans="2:12" ht="12.75">
      <c r="B15" s="389"/>
      <c r="C15" s="497" t="s">
        <v>489</v>
      </c>
      <c r="D15" s="498"/>
      <c r="E15" s="497" t="s">
        <v>490</v>
      </c>
      <c r="F15" s="498"/>
      <c r="G15" s="497" t="s">
        <v>491</v>
      </c>
      <c r="H15" s="498"/>
      <c r="I15" s="497" t="s">
        <v>492</v>
      </c>
      <c r="J15" s="498"/>
      <c r="K15" s="497" t="s">
        <v>493</v>
      </c>
      <c r="L15" s="498"/>
    </row>
    <row r="16" spans="2:12" ht="12.75">
      <c r="B16" s="389"/>
      <c r="C16" s="574" t="s">
        <v>601</v>
      </c>
      <c r="D16" s="575"/>
      <c r="E16" s="574" t="s">
        <v>600</v>
      </c>
      <c r="F16" s="575"/>
      <c r="G16" s="574" t="s">
        <v>599</v>
      </c>
      <c r="H16" s="575"/>
      <c r="I16" s="574" t="s">
        <v>598</v>
      </c>
      <c r="J16" s="575"/>
      <c r="K16" s="574" t="s">
        <v>597</v>
      </c>
      <c r="L16" s="575"/>
    </row>
    <row r="17" spans="2:12" ht="37.5" customHeight="1">
      <c r="B17" s="50" t="s">
        <v>496</v>
      </c>
      <c r="C17" s="428" t="s">
        <v>494</v>
      </c>
      <c r="D17" s="428" t="s">
        <v>495</v>
      </c>
      <c r="E17" s="428" t="s">
        <v>494</v>
      </c>
      <c r="F17" s="428" t="s">
        <v>495</v>
      </c>
      <c r="G17" s="428" t="s">
        <v>494</v>
      </c>
      <c r="H17" s="428" t="s">
        <v>495</v>
      </c>
      <c r="I17" s="428" t="s">
        <v>494</v>
      </c>
      <c r="J17" s="428" t="s">
        <v>495</v>
      </c>
      <c r="K17" s="428" t="s">
        <v>494</v>
      </c>
      <c r="L17" s="428" t="s">
        <v>495</v>
      </c>
    </row>
    <row r="18" spans="2:12" ht="12.75">
      <c r="B18" s="49">
        <v>5</v>
      </c>
      <c r="C18" s="387">
        <v>0.46</v>
      </c>
      <c r="D18" s="209">
        <f>C18*(60/$B18)</f>
        <v>5.5200000000000005</v>
      </c>
      <c r="E18" s="388">
        <v>0.54</v>
      </c>
      <c r="F18" s="209">
        <f>E18*(60/$B18)</f>
        <v>6.48</v>
      </c>
      <c r="G18" s="388">
        <v>0.66</v>
      </c>
      <c r="H18" s="209">
        <f aca="true" t="shared" si="0" ref="H18:H32">G18*(60/$B18)</f>
        <v>7.92</v>
      </c>
      <c r="I18" s="388">
        <v>0.78</v>
      </c>
      <c r="J18" s="209">
        <f aca="true" t="shared" si="1" ref="J18:J32">I18*(60/$B18)</f>
        <v>9.36</v>
      </c>
      <c r="K18" s="388">
        <v>0.91</v>
      </c>
      <c r="L18" s="209">
        <f aca="true" t="shared" si="2" ref="L18:L32">K18*(60/$B18)</f>
        <v>10.92</v>
      </c>
    </row>
    <row r="19" spans="2:12" ht="12.75">
      <c r="B19" s="49">
        <v>10</v>
      </c>
      <c r="C19" s="387">
        <v>0.84</v>
      </c>
      <c r="D19" s="209">
        <f aca="true" t="shared" si="3" ref="D19:F32">C19*(60/$B19)</f>
        <v>5.04</v>
      </c>
      <c r="E19" s="388">
        <v>0.98</v>
      </c>
      <c r="F19" s="209">
        <f t="shared" si="3"/>
        <v>5.88</v>
      </c>
      <c r="G19" s="388">
        <v>1.21</v>
      </c>
      <c r="H19" s="209">
        <f t="shared" si="0"/>
        <v>7.26</v>
      </c>
      <c r="I19" s="388">
        <v>1.42</v>
      </c>
      <c r="J19" s="209">
        <f t="shared" si="1"/>
        <v>8.52</v>
      </c>
      <c r="K19" s="388">
        <v>1.67</v>
      </c>
      <c r="L19" s="209">
        <f t="shared" si="2"/>
        <v>10.02</v>
      </c>
    </row>
    <row r="20" spans="2:12" ht="12.75">
      <c r="B20" s="49">
        <v>15</v>
      </c>
      <c r="C20" s="387">
        <v>1.03</v>
      </c>
      <c r="D20" s="209">
        <f t="shared" si="3"/>
        <v>4.12</v>
      </c>
      <c r="E20" s="388">
        <v>1.21</v>
      </c>
      <c r="F20" s="209">
        <f t="shared" si="3"/>
        <v>4.84</v>
      </c>
      <c r="G20" s="388">
        <v>1.49</v>
      </c>
      <c r="H20" s="209">
        <f t="shared" si="0"/>
        <v>5.96</v>
      </c>
      <c r="I20" s="388">
        <v>1.75</v>
      </c>
      <c r="J20" s="209">
        <f t="shared" si="1"/>
        <v>7</v>
      </c>
      <c r="K20" s="388">
        <v>2.05</v>
      </c>
      <c r="L20" s="209">
        <f t="shared" si="2"/>
        <v>8.2</v>
      </c>
    </row>
    <row r="21" spans="2:12" ht="12.75">
      <c r="B21" s="49">
        <v>30</v>
      </c>
      <c r="C21" s="387">
        <v>1.41</v>
      </c>
      <c r="D21" s="209">
        <f t="shared" si="3"/>
        <v>2.82</v>
      </c>
      <c r="E21" s="388">
        <v>1.65</v>
      </c>
      <c r="F21" s="209">
        <f t="shared" si="3"/>
        <v>3.3</v>
      </c>
      <c r="G21" s="388">
        <v>2.04</v>
      </c>
      <c r="H21" s="209">
        <f t="shared" si="0"/>
        <v>4.08</v>
      </c>
      <c r="I21" s="388">
        <v>2.39</v>
      </c>
      <c r="J21" s="209">
        <f t="shared" si="1"/>
        <v>4.78</v>
      </c>
      <c r="K21" s="388">
        <v>2.8</v>
      </c>
      <c r="L21" s="209">
        <f t="shared" si="2"/>
        <v>5.6</v>
      </c>
    </row>
    <row r="22" spans="2:12" ht="12.75">
      <c r="B22" s="49">
        <v>60</v>
      </c>
      <c r="C22" s="387">
        <v>1.79</v>
      </c>
      <c r="D22" s="209">
        <f t="shared" si="3"/>
        <v>1.79</v>
      </c>
      <c r="E22" s="388">
        <v>2.1</v>
      </c>
      <c r="F22" s="209">
        <f t="shared" si="3"/>
        <v>2.1</v>
      </c>
      <c r="G22" s="388">
        <v>2.59</v>
      </c>
      <c r="H22" s="209">
        <f t="shared" si="0"/>
        <v>2.59</v>
      </c>
      <c r="I22" s="388">
        <v>3.04</v>
      </c>
      <c r="J22" s="209">
        <f t="shared" si="1"/>
        <v>3.04</v>
      </c>
      <c r="K22" s="388">
        <v>3.56</v>
      </c>
      <c r="L22" s="209">
        <f t="shared" si="2"/>
        <v>3.56</v>
      </c>
    </row>
    <row r="23" spans="2:12" ht="12.75">
      <c r="B23" s="49">
        <f>2*60</f>
        <v>120</v>
      </c>
      <c r="C23" s="387">
        <v>2.24</v>
      </c>
      <c r="D23" s="209">
        <f t="shared" si="3"/>
        <v>1.12</v>
      </c>
      <c r="E23" s="388">
        <v>2.64</v>
      </c>
      <c r="F23" s="209">
        <f t="shared" si="3"/>
        <v>1.32</v>
      </c>
      <c r="G23" s="388">
        <v>3.25</v>
      </c>
      <c r="H23" s="209">
        <f t="shared" si="0"/>
        <v>1.625</v>
      </c>
      <c r="I23" s="388">
        <v>3.82</v>
      </c>
      <c r="J23" s="209">
        <f t="shared" si="1"/>
        <v>1.91</v>
      </c>
      <c r="K23" s="388">
        <v>4.47</v>
      </c>
      <c r="L23" s="209">
        <f t="shared" si="2"/>
        <v>2.235</v>
      </c>
    </row>
    <row r="24" spans="2:12" ht="12.75">
      <c r="B24" s="49">
        <f>3*60</f>
        <v>180</v>
      </c>
      <c r="C24" s="387">
        <v>2.43</v>
      </c>
      <c r="D24" s="209">
        <f t="shared" si="3"/>
        <v>0.81</v>
      </c>
      <c r="E24" s="388">
        <v>2.86</v>
      </c>
      <c r="F24" s="209">
        <f t="shared" si="3"/>
        <v>0.9533333333333333</v>
      </c>
      <c r="G24" s="388">
        <v>3.53</v>
      </c>
      <c r="H24" s="209">
        <f t="shared" si="0"/>
        <v>1.1766666666666665</v>
      </c>
      <c r="I24" s="388">
        <v>4.14</v>
      </c>
      <c r="J24" s="209">
        <f t="shared" si="1"/>
        <v>1.38</v>
      </c>
      <c r="K24" s="388">
        <v>4.85</v>
      </c>
      <c r="L24" s="209">
        <f t="shared" si="2"/>
        <v>1.6166666666666665</v>
      </c>
    </row>
    <row r="25" spans="2:12" ht="12.75">
      <c r="B25" s="49">
        <f>6*60</f>
        <v>360</v>
      </c>
      <c r="C25" s="387">
        <v>2.85</v>
      </c>
      <c r="D25" s="209">
        <f t="shared" si="3"/>
        <v>0.475</v>
      </c>
      <c r="E25" s="388">
        <v>3.35</v>
      </c>
      <c r="F25" s="209">
        <f t="shared" si="3"/>
        <v>0.5583333333333333</v>
      </c>
      <c r="G25" s="388">
        <v>4.13</v>
      </c>
      <c r="H25" s="209">
        <f t="shared" si="0"/>
        <v>0.6883333333333332</v>
      </c>
      <c r="I25" s="388">
        <v>4.85</v>
      </c>
      <c r="J25" s="209">
        <f t="shared" si="1"/>
        <v>0.8083333333333332</v>
      </c>
      <c r="K25" s="388">
        <v>5.68</v>
      </c>
      <c r="L25" s="209">
        <f t="shared" si="2"/>
        <v>0.9466666666666665</v>
      </c>
    </row>
    <row r="26" spans="2:12" ht="12.75">
      <c r="B26" s="49">
        <f>12*60</f>
        <v>720</v>
      </c>
      <c r="C26" s="387">
        <v>3.31</v>
      </c>
      <c r="D26" s="209">
        <f t="shared" si="3"/>
        <v>0.2758333333333333</v>
      </c>
      <c r="E26" s="388">
        <v>3.89</v>
      </c>
      <c r="F26" s="209">
        <f t="shared" si="3"/>
        <v>0.32416666666666666</v>
      </c>
      <c r="G26" s="388">
        <v>4.79</v>
      </c>
      <c r="H26" s="209">
        <f t="shared" si="0"/>
        <v>0.39916666666666667</v>
      </c>
      <c r="I26" s="388">
        <v>5.62</v>
      </c>
      <c r="J26" s="209">
        <f t="shared" si="1"/>
        <v>0.4683333333333333</v>
      </c>
      <c r="K26" s="388">
        <v>6.59</v>
      </c>
      <c r="L26" s="209">
        <f t="shared" si="2"/>
        <v>0.5491666666666666</v>
      </c>
    </row>
    <row r="27" spans="2:12" ht="12.75">
      <c r="B27" s="49">
        <f>18*60</f>
        <v>1080</v>
      </c>
      <c r="C27" s="387">
        <v>3.5</v>
      </c>
      <c r="D27" s="209">
        <f t="shared" si="3"/>
        <v>0.19444444444444442</v>
      </c>
      <c r="E27" s="388">
        <v>4.11</v>
      </c>
      <c r="F27" s="209">
        <f t="shared" si="3"/>
        <v>0.22833333333333333</v>
      </c>
      <c r="G27" s="388">
        <v>5.06</v>
      </c>
      <c r="H27" s="209">
        <f t="shared" si="0"/>
        <v>0.2811111111111111</v>
      </c>
      <c r="I27" s="388">
        <v>5.95</v>
      </c>
      <c r="J27" s="209">
        <f t="shared" si="1"/>
        <v>0.33055555555555555</v>
      </c>
      <c r="K27" s="388">
        <v>6.97</v>
      </c>
      <c r="L27" s="209">
        <f t="shared" si="2"/>
        <v>0.3872222222222222</v>
      </c>
    </row>
    <row r="28" spans="2:12" ht="12.75">
      <c r="B28" s="49">
        <f>24*60</f>
        <v>1440</v>
      </c>
      <c r="C28" s="387">
        <v>3.8</v>
      </c>
      <c r="D28" s="209">
        <f t="shared" si="3"/>
        <v>0.15833333333333333</v>
      </c>
      <c r="E28" s="388">
        <v>4.47</v>
      </c>
      <c r="F28" s="209">
        <f t="shared" si="3"/>
        <v>0.18624999999999997</v>
      </c>
      <c r="G28" s="388">
        <v>5.51</v>
      </c>
      <c r="H28" s="209">
        <f t="shared" si="0"/>
        <v>0.2295833333333333</v>
      </c>
      <c r="I28" s="388">
        <v>6.46</v>
      </c>
      <c r="J28" s="209">
        <f t="shared" si="1"/>
        <v>0.26916666666666667</v>
      </c>
      <c r="K28" s="388">
        <v>7.58</v>
      </c>
      <c r="L28" s="209">
        <f t="shared" si="2"/>
        <v>0.3158333333333333</v>
      </c>
    </row>
    <row r="29" spans="2:12" ht="12.75">
      <c r="B29" s="49">
        <f>48*60</f>
        <v>2880</v>
      </c>
      <c r="C29" s="387">
        <v>4.09</v>
      </c>
      <c r="D29" s="209">
        <f t="shared" si="3"/>
        <v>0.08520833333333333</v>
      </c>
      <c r="E29" s="388">
        <v>4.81</v>
      </c>
      <c r="F29" s="209">
        <f t="shared" si="3"/>
        <v>0.10020833333333332</v>
      </c>
      <c r="G29" s="388">
        <v>5.88</v>
      </c>
      <c r="H29" s="209">
        <f t="shared" si="0"/>
        <v>0.1225</v>
      </c>
      <c r="I29" s="388">
        <v>6.84</v>
      </c>
      <c r="J29" s="209">
        <f t="shared" si="1"/>
        <v>0.1425</v>
      </c>
      <c r="K29" s="388">
        <v>8.16</v>
      </c>
      <c r="L29" s="209">
        <f t="shared" si="2"/>
        <v>0.16999999999999998</v>
      </c>
    </row>
    <row r="30" spans="2:12" ht="12.75">
      <c r="B30" s="49">
        <f>72*60</f>
        <v>4320</v>
      </c>
      <c r="C30" s="387">
        <v>4.44</v>
      </c>
      <c r="D30" s="209">
        <f t="shared" si="3"/>
        <v>0.06166666666666667</v>
      </c>
      <c r="E30" s="388">
        <v>5.18</v>
      </c>
      <c r="F30" s="209">
        <f t="shared" si="3"/>
        <v>0.07194444444444444</v>
      </c>
      <c r="G30" s="388">
        <v>6.32</v>
      </c>
      <c r="H30" s="209">
        <f t="shared" si="0"/>
        <v>0.08777777777777777</v>
      </c>
      <c r="I30" s="388">
        <v>7.41</v>
      </c>
      <c r="J30" s="209">
        <f t="shared" si="1"/>
        <v>0.10291666666666666</v>
      </c>
      <c r="K30" s="388">
        <v>8.78</v>
      </c>
      <c r="L30" s="209">
        <f t="shared" si="2"/>
        <v>0.12194444444444442</v>
      </c>
    </row>
    <row r="31" spans="2:12" ht="12.75">
      <c r="B31" s="49">
        <f>5*24*60</f>
        <v>7200</v>
      </c>
      <c r="C31" s="387">
        <v>4.91</v>
      </c>
      <c r="D31" s="209">
        <f t="shared" si="3"/>
        <v>0.04091666666666667</v>
      </c>
      <c r="E31" s="388">
        <v>5.7</v>
      </c>
      <c r="F31" s="209">
        <f t="shared" si="3"/>
        <v>0.0475</v>
      </c>
      <c r="G31" s="388">
        <v>6.93</v>
      </c>
      <c r="H31" s="209">
        <f t="shared" si="0"/>
        <v>0.057749999999999996</v>
      </c>
      <c r="I31" s="388">
        <v>8.04</v>
      </c>
      <c r="J31" s="209">
        <f t="shared" si="1"/>
        <v>0.06699999999999999</v>
      </c>
      <c r="K31" s="388">
        <v>9.96</v>
      </c>
      <c r="L31" s="209">
        <f t="shared" si="2"/>
        <v>0.083</v>
      </c>
    </row>
    <row r="32" spans="2:12" ht="12.75">
      <c r="B32" s="49">
        <f>10*24*60</f>
        <v>14400</v>
      </c>
      <c r="C32" s="387">
        <v>6.04</v>
      </c>
      <c r="D32" s="209">
        <f t="shared" si="3"/>
        <v>0.025166666666666667</v>
      </c>
      <c r="E32" s="388">
        <v>6.89</v>
      </c>
      <c r="F32" s="209">
        <f t="shared" si="3"/>
        <v>0.028708333333333332</v>
      </c>
      <c r="G32" s="388">
        <v>8.18</v>
      </c>
      <c r="H32" s="209">
        <f t="shared" si="0"/>
        <v>0.034083333333333334</v>
      </c>
      <c r="I32" s="388">
        <v>9.38</v>
      </c>
      <c r="J32" s="209">
        <f t="shared" si="1"/>
        <v>0.03908333333333334</v>
      </c>
      <c r="K32" s="388">
        <v>11.14</v>
      </c>
      <c r="L32" s="209">
        <f t="shared" si="2"/>
        <v>0.04641666666666667</v>
      </c>
    </row>
  </sheetData>
  <sheetProtection/>
  <mergeCells count="11">
    <mergeCell ref="I15:J15"/>
    <mergeCell ref="K15:L15"/>
    <mergeCell ref="C13:L13"/>
    <mergeCell ref="C16:D16"/>
    <mergeCell ref="E16:F16"/>
    <mergeCell ref="G16:H16"/>
    <mergeCell ref="I16:J16"/>
    <mergeCell ref="K16:L16"/>
    <mergeCell ref="C15:D15"/>
    <mergeCell ref="E15:F15"/>
    <mergeCell ref="G15:H15"/>
  </mergeCells>
  <printOptions horizontalCentered="1" verticalCentered="1"/>
  <pageMargins left="0.75" right="0.75" top="1" bottom="1" header="0.5" footer="0.5"/>
  <pageSetup fitToHeight="1" fitToWidth="1" horizontalDpi="600" verticalDpi="600" orientation="portrait" scale="71" r:id="rId1"/>
  <headerFooter alignWithMargins="0">
    <oddFooter>&amp;L&amp;8City of Chicago
Dept. of Water Management&amp;C&amp;8IDF Curve&amp;R&amp;8Page &amp;P</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showGridLines="0" zoomScalePageLayoutView="0" workbookViewId="0" topLeftCell="A1">
      <selection activeCell="C12" sqref="C12"/>
    </sheetView>
  </sheetViews>
  <sheetFormatPr defaultColWidth="9.140625" defaultRowHeight="12.75"/>
  <cols>
    <col min="1" max="1" width="14.57421875" style="0" customWidth="1"/>
    <col min="2" max="2" width="27.7109375" style="0" customWidth="1"/>
    <col min="3" max="3" width="14.421875" style="162" customWidth="1"/>
    <col min="4" max="8" width="14.421875" style="0" customWidth="1"/>
    <col min="9" max="9" width="2.8515625" style="0" customWidth="1"/>
    <col min="10" max="10" width="7.140625" style="0" customWidth="1"/>
  </cols>
  <sheetData>
    <row r="1" spans="2:3" ht="18">
      <c r="B1" s="131" t="s">
        <v>119</v>
      </c>
      <c r="C1" s="124"/>
    </row>
    <row r="2" spans="2:3" ht="18">
      <c r="B2" s="131" t="s">
        <v>375</v>
      </c>
      <c r="C2" s="124"/>
    </row>
    <row r="3" spans="2:3" ht="12.75" customHeight="1">
      <c r="B3" s="131"/>
      <c r="C3"/>
    </row>
    <row r="4" spans="2:4" ht="15.75" customHeight="1">
      <c r="B4" t="s">
        <v>123</v>
      </c>
      <c r="C4" s="444">
        <f>IF(COVER!$D$15="","",COVER!$D$15)</f>
      </c>
      <c r="D4" s="444"/>
    </row>
    <row r="5" spans="2:4" ht="15.75" customHeight="1">
      <c r="B5" t="s">
        <v>124</v>
      </c>
      <c r="C5" s="445">
        <f>IF(COVER!$D$18="","",COVER!$D$18)</f>
      </c>
      <c r="D5" s="445"/>
    </row>
    <row r="6" spans="2:9" ht="15.75" customHeight="1">
      <c r="B6" t="s">
        <v>125</v>
      </c>
      <c r="C6" s="445">
        <f>IF(COVER!$F$21="","",COVER!$F$21)</f>
      </c>
      <c r="D6" s="445"/>
      <c r="E6" s="163"/>
      <c r="F6" s="163"/>
      <c r="G6" s="163"/>
      <c r="H6" s="163"/>
      <c r="I6" s="163"/>
    </row>
    <row r="7" ht="12" customHeight="1"/>
    <row r="8" ht="16.5" customHeight="1">
      <c r="B8" s="132" t="s">
        <v>472</v>
      </c>
    </row>
    <row r="9" ht="12" customHeight="1"/>
    <row r="10" spans="2:8" ht="20.25" customHeight="1" thickBot="1">
      <c r="B10" s="442" t="s">
        <v>461</v>
      </c>
      <c r="C10" s="443"/>
      <c r="D10" s="443"/>
      <c r="E10" s="443"/>
      <c r="F10" s="443"/>
      <c r="G10" s="443"/>
      <c r="H10" s="443"/>
    </row>
    <row r="11" spans="2:8" ht="15.75" customHeight="1">
      <c r="B11" s="317" t="s">
        <v>446</v>
      </c>
      <c r="C11" s="309" t="s">
        <v>447</v>
      </c>
      <c r="D11" s="297" t="s">
        <v>448</v>
      </c>
      <c r="E11" s="297" t="s">
        <v>449</v>
      </c>
      <c r="F11" s="297" t="s">
        <v>450</v>
      </c>
      <c r="G11" s="297" t="s">
        <v>451</v>
      </c>
      <c r="H11" s="298" t="s">
        <v>452</v>
      </c>
    </row>
    <row r="12" spans="2:8" ht="15.75" customHeight="1">
      <c r="B12" s="354" t="s">
        <v>478</v>
      </c>
      <c r="C12" s="310"/>
      <c r="D12" s="175"/>
      <c r="E12" s="175"/>
      <c r="F12" s="175"/>
      <c r="G12" s="175"/>
      <c r="H12" s="299"/>
    </row>
    <row r="13" spans="2:8" ht="15.75" customHeight="1">
      <c r="B13" s="330" t="s">
        <v>479</v>
      </c>
      <c r="C13" s="310"/>
      <c r="D13" s="175"/>
      <c r="E13" s="175"/>
      <c r="F13" s="175"/>
      <c r="G13" s="175"/>
      <c r="H13" s="299"/>
    </row>
    <row r="14" spans="2:8" ht="15.75" customHeight="1">
      <c r="B14" s="330" t="s">
        <v>480</v>
      </c>
      <c r="C14" s="310"/>
      <c r="D14" s="175"/>
      <c r="E14" s="175"/>
      <c r="F14" s="175"/>
      <c r="G14" s="175"/>
      <c r="H14" s="299"/>
    </row>
    <row r="15" spans="2:8" ht="15.75" customHeight="1">
      <c r="B15" s="330" t="s">
        <v>437</v>
      </c>
      <c r="C15" s="311"/>
      <c r="D15" s="300"/>
      <c r="E15" s="300"/>
      <c r="F15" s="300"/>
      <c r="G15" s="300"/>
      <c r="H15" s="301"/>
    </row>
    <row r="16" spans="2:8" ht="15.75" customHeight="1">
      <c r="B16" s="330" t="s">
        <v>438</v>
      </c>
      <c r="C16" s="311"/>
      <c r="D16" s="300"/>
      <c r="E16" s="300"/>
      <c r="F16" s="300"/>
      <c r="G16" s="300"/>
      <c r="H16" s="301"/>
    </row>
    <row r="17" spans="2:8" ht="15.75" customHeight="1">
      <c r="B17" s="330" t="s">
        <v>439</v>
      </c>
      <c r="C17" s="312"/>
      <c r="D17" s="302"/>
      <c r="E17" s="302"/>
      <c r="F17" s="302"/>
      <c r="G17" s="302"/>
      <c r="H17" s="303"/>
    </row>
    <row r="18" spans="2:8" ht="15.75" customHeight="1">
      <c r="B18" s="353" t="s">
        <v>428</v>
      </c>
      <c r="C18" s="313">
        <f aca="true" t="shared" si="0" ref="C18:H18">IF(C15="","",IF(C16="","",IF(C17="","",IF(C15-C16&lt;=0,"Error",(C15-C16)/C17))))</f>
      </c>
      <c r="D18" s="313">
        <f t="shared" si="0"/>
      </c>
      <c r="E18" s="313">
        <f t="shared" si="0"/>
      </c>
      <c r="F18" s="313">
        <f t="shared" si="0"/>
      </c>
      <c r="G18" s="313">
        <f t="shared" si="0"/>
      </c>
      <c r="H18" s="372">
        <f t="shared" si="0"/>
      </c>
    </row>
    <row r="19" spans="2:8" ht="15.75" customHeight="1">
      <c r="B19" s="352" t="s">
        <v>429</v>
      </c>
      <c r="C19" s="324"/>
      <c r="D19" s="324"/>
      <c r="E19" s="324"/>
      <c r="F19" s="324"/>
      <c r="G19" s="324"/>
      <c r="H19" s="325"/>
    </row>
    <row r="20" spans="2:8" ht="15.75" customHeight="1">
      <c r="B20" s="354" t="s">
        <v>440</v>
      </c>
      <c r="C20" s="310"/>
      <c r="D20" s="175"/>
      <c r="E20" s="175"/>
      <c r="F20" s="175"/>
      <c r="G20" s="175"/>
      <c r="H20" s="299"/>
    </row>
    <row r="21" spans="2:8" ht="15.75" customHeight="1">
      <c r="B21" s="330" t="s">
        <v>441</v>
      </c>
      <c r="C21" s="314">
        <f aca="true" t="shared" si="1" ref="C21:H21">PI()*((C20/2)/12)^2</f>
        <v>0</v>
      </c>
      <c r="D21" s="304">
        <f t="shared" si="1"/>
        <v>0</v>
      </c>
      <c r="E21" s="304">
        <f t="shared" si="1"/>
        <v>0</v>
      </c>
      <c r="F21" s="304">
        <f t="shared" si="1"/>
        <v>0</v>
      </c>
      <c r="G21" s="304">
        <f t="shared" si="1"/>
        <v>0</v>
      </c>
      <c r="H21" s="305">
        <f t="shared" si="1"/>
        <v>0</v>
      </c>
    </row>
    <row r="22" spans="2:8" ht="15.75" customHeight="1">
      <c r="B22" s="330" t="s">
        <v>442</v>
      </c>
      <c r="C22" s="314">
        <f aca="true" t="shared" si="2" ref="C22:H22">PI()*(C20/12)</f>
        <v>0</v>
      </c>
      <c r="D22" s="304">
        <f t="shared" si="2"/>
        <v>0</v>
      </c>
      <c r="E22" s="304">
        <f t="shared" si="2"/>
        <v>0</v>
      </c>
      <c r="F22" s="304">
        <f t="shared" si="2"/>
        <v>0</v>
      </c>
      <c r="G22" s="304">
        <f t="shared" si="2"/>
        <v>0</v>
      </c>
      <c r="H22" s="305">
        <f t="shared" si="2"/>
        <v>0</v>
      </c>
    </row>
    <row r="23" spans="2:8" ht="15.75" customHeight="1">
      <c r="B23" s="330" t="s">
        <v>443</v>
      </c>
      <c r="C23" s="314">
        <f aca="true" t="shared" si="3" ref="C23:H23">IF(C21=0,"",IF(C22=0,"",C21/C22))</f>
      </c>
      <c r="D23" s="314">
        <f t="shared" si="3"/>
      </c>
      <c r="E23" s="314">
        <f t="shared" si="3"/>
      </c>
      <c r="F23" s="314">
        <f t="shared" si="3"/>
      </c>
      <c r="G23" s="314">
        <f t="shared" si="3"/>
      </c>
      <c r="H23" s="360">
        <f t="shared" si="3"/>
      </c>
    </row>
    <row r="24" spans="2:8" ht="15.75" customHeight="1">
      <c r="B24" s="330" t="s">
        <v>433</v>
      </c>
      <c r="C24" s="315"/>
      <c r="D24" s="306"/>
      <c r="E24" s="306"/>
      <c r="F24" s="306"/>
      <c r="G24" s="306"/>
      <c r="H24" s="307"/>
    </row>
    <row r="25" spans="2:8" ht="15.75" customHeight="1">
      <c r="B25" s="353" t="s">
        <v>434</v>
      </c>
      <c r="C25" s="314">
        <f aca="true" t="shared" si="4" ref="C25:H25">IF(C23="","",IF(C24="","",(1.486*((C23)^(2/3)))/C24))</f>
      </c>
      <c r="D25" s="314">
        <f t="shared" si="4"/>
      </c>
      <c r="E25" s="314">
        <f t="shared" si="4"/>
      </c>
      <c r="F25" s="314">
        <f t="shared" si="4"/>
      </c>
      <c r="G25" s="314">
        <f t="shared" si="4"/>
      </c>
      <c r="H25" s="360">
        <f t="shared" si="4"/>
      </c>
    </row>
    <row r="26" spans="2:16" ht="15.75" customHeight="1">
      <c r="B26" s="352" t="s">
        <v>435</v>
      </c>
      <c r="C26" s="367">
        <f>IF(C18&lt;&gt;"Error",IF(D18&lt;&gt;"Error",IF(E18&lt;&gt;"Error",IF(F18&lt;&gt;"Error",IF(G18&lt;&gt;"Error",IF(H18&lt;&gt;"Error","",$P$26),$P$26),$P$26),$P$26),$P$26),$P$26)</f>
      </c>
      <c r="D26" s="324"/>
      <c r="E26" s="324"/>
      <c r="F26" s="324"/>
      <c r="G26" s="324"/>
      <c r="H26" s="325"/>
      <c r="P26" s="371" t="s">
        <v>473</v>
      </c>
    </row>
    <row r="27" spans="2:8" ht="15.75" customHeight="1">
      <c r="B27" s="354" t="s">
        <v>444</v>
      </c>
      <c r="C27" s="316">
        <f aca="true" t="shared" si="5" ref="C27:H27">IF(C28="","",IF(C15-C16&lt;=0,"Error",C28/C21))</f>
      </c>
      <c r="D27" s="253">
        <f t="shared" si="5"/>
      </c>
      <c r="E27" s="253">
        <f t="shared" si="5"/>
      </c>
      <c r="F27" s="253">
        <f t="shared" si="5"/>
      </c>
      <c r="G27" s="253">
        <f t="shared" si="5"/>
      </c>
      <c r="H27" s="308">
        <f t="shared" si="5"/>
      </c>
    </row>
    <row r="28" spans="2:8" ht="15.75" customHeight="1">
      <c r="B28" s="353" t="s">
        <v>445</v>
      </c>
      <c r="C28" s="370">
        <f aca="true" t="shared" si="6" ref="C28:H28">IF(C25="","",IF(C18="","",IF(C18="Error","Error",C25*((C18^(1/2))*C21))))</f>
      </c>
      <c r="D28" s="368">
        <f t="shared" si="6"/>
      </c>
      <c r="E28" s="368">
        <f t="shared" si="6"/>
      </c>
      <c r="F28" s="368">
        <f t="shared" si="6"/>
      </c>
      <c r="G28" s="368">
        <f t="shared" si="6"/>
      </c>
      <c r="H28" s="369">
        <f t="shared" si="6"/>
      </c>
    </row>
    <row r="29" spans="2:8" ht="15.75" customHeight="1">
      <c r="B29" s="318" t="s">
        <v>433</v>
      </c>
      <c r="C29" s="359"/>
      <c r="D29" s="359"/>
      <c r="E29" s="359"/>
      <c r="F29" s="359"/>
      <c r="G29" s="359"/>
      <c r="H29" s="361"/>
    </row>
    <row r="30" spans="2:8" ht="15.75" customHeight="1">
      <c r="B30" s="318" t="s">
        <v>453</v>
      </c>
      <c r="C30" s="118" t="s">
        <v>430</v>
      </c>
      <c r="D30" s="6"/>
      <c r="E30" s="6"/>
      <c r="F30" s="6"/>
      <c r="G30" s="6"/>
      <c r="H30" s="319"/>
    </row>
    <row r="31" spans="2:8" ht="15.75" customHeight="1">
      <c r="B31" s="318" t="s">
        <v>454</v>
      </c>
      <c r="C31" s="118" t="s">
        <v>431</v>
      </c>
      <c r="D31" s="6"/>
      <c r="E31" s="6"/>
      <c r="F31" s="6"/>
      <c r="G31" s="6"/>
      <c r="H31" s="319"/>
    </row>
    <row r="32" spans="2:8" ht="15.75" customHeight="1" thickBot="1">
      <c r="B32" s="320" t="s">
        <v>470</v>
      </c>
      <c r="C32" s="321" t="s">
        <v>432</v>
      </c>
      <c r="D32" s="322"/>
      <c r="E32" s="322"/>
      <c r="F32" s="322"/>
      <c r="G32" s="322"/>
      <c r="H32" s="323"/>
    </row>
    <row r="33" ht="12" customHeight="1"/>
    <row r="34" spans="2:8" ht="20.25" customHeight="1" thickBot="1">
      <c r="B34" s="442" t="s">
        <v>460</v>
      </c>
      <c r="C34" s="443"/>
      <c r="D34" s="443"/>
      <c r="E34" s="443"/>
      <c r="F34" s="443"/>
      <c r="G34" s="443"/>
      <c r="H34" s="443"/>
    </row>
    <row r="35" spans="1:8" ht="15.75" customHeight="1">
      <c r="A35" s="52"/>
      <c r="B35" s="363"/>
      <c r="C35" s="326"/>
      <c r="D35" s="327" t="s">
        <v>447</v>
      </c>
      <c r="E35" s="328"/>
      <c r="F35" s="326"/>
      <c r="G35" s="327" t="s">
        <v>448</v>
      </c>
      <c r="H35" s="328"/>
    </row>
    <row r="36" spans="2:8" ht="15.75" customHeight="1">
      <c r="B36" s="330" t="s">
        <v>455</v>
      </c>
      <c r="C36" s="336"/>
      <c r="D36" s="291" t="s">
        <v>471</v>
      </c>
      <c r="E36" s="334" t="s">
        <v>459</v>
      </c>
      <c r="F36" s="337"/>
      <c r="G36" s="291" t="s">
        <v>471</v>
      </c>
      <c r="H36" s="362" t="s">
        <v>459</v>
      </c>
    </row>
    <row r="37" spans="2:8" ht="15.75" customHeight="1">
      <c r="B37" s="330" t="s">
        <v>456</v>
      </c>
      <c r="C37" s="349">
        <f>C36-C38-C39</f>
        <v>0</v>
      </c>
      <c r="D37" s="339">
        <v>1</v>
      </c>
      <c r="E37" s="308">
        <f>C37*D37</f>
        <v>0</v>
      </c>
      <c r="F37" s="350">
        <f>F36-F38-F39</f>
        <v>0</v>
      </c>
      <c r="G37" s="339">
        <v>1</v>
      </c>
      <c r="H37" s="341">
        <f>F37*G37</f>
        <v>0</v>
      </c>
    </row>
    <row r="38" spans="2:8" ht="15.75" customHeight="1">
      <c r="B38" s="330" t="s">
        <v>457</v>
      </c>
      <c r="C38" s="338"/>
      <c r="D38" s="339">
        <v>1.3</v>
      </c>
      <c r="E38" s="308">
        <f>C38*D38</f>
        <v>0</v>
      </c>
      <c r="F38" s="340"/>
      <c r="G38" s="339">
        <v>1.3</v>
      </c>
      <c r="H38" s="341">
        <f>F38*G38</f>
        <v>0</v>
      </c>
    </row>
    <row r="39" spans="2:8" ht="15.75" customHeight="1">
      <c r="B39" s="330" t="s">
        <v>458</v>
      </c>
      <c r="C39" s="342"/>
      <c r="D39" s="343">
        <v>1.5</v>
      </c>
      <c r="E39" s="308">
        <f>C39*D39</f>
        <v>0</v>
      </c>
      <c r="F39" s="344"/>
      <c r="G39" s="343">
        <v>1.5</v>
      </c>
      <c r="H39" s="341">
        <f>F39*G39</f>
        <v>0</v>
      </c>
    </row>
    <row r="40" spans="2:8" ht="15.75" customHeight="1" thickBot="1">
      <c r="B40" s="331"/>
      <c r="C40" s="333"/>
      <c r="D40" s="358" t="s">
        <v>436</v>
      </c>
      <c r="E40" s="348">
        <f>SUM(E37:E39)</f>
        <v>0</v>
      </c>
      <c r="F40" s="322"/>
      <c r="G40" s="358" t="s">
        <v>436</v>
      </c>
      <c r="H40" s="348">
        <f>SUM(H37:H39)</f>
        <v>0</v>
      </c>
    </row>
    <row r="41" spans="2:8" ht="15.75" customHeight="1">
      <c r="B41" s="332"/>
      <c r="C41" s="125"/>
      <c r="D41" s="329" t="s">
        <v>449</v>
      </c>
      <c r="E41" s="319"/>
      <c r="F41" s="125"/>
      <c r="G41" s="329" t="s">
        <v>450</v>
      </c>
      <c r="H41" s="319"/>
    </row>
    <row r="42" spans="2:8" ht="15.75" customHeight="1">
      <c r="B42" s="330" t="s">
        <v>455</v>
      </c>
      <c r="C42" s="336"/>
      <c r="D42" s="291" t="s">
        <v>471</v>
      </c>
      <c r="E42" s="334" t="s">
        <v>459</v>
      </c>
      <c r="F42" s="345"/>
      <c r="G42" s="291" t="s">
        <v>471</v>
      </c>
      <c r="H42" s="334" t="s">
        <v>459</v>
      </c>
    </row>
    <row r="43" spans="2:8" ht="15.75" customHeight="1">
      <c r="B43" s="330" t="s">
        <v>456</v>
      </c>
      <c r="C43" s="349">
        <f>C42-C44-C45</f>
        <v>0</v>
      </c>
      <c r="D43" s="339">
        <v>1</v>
      </c>
      <c r="E43" s="308">
        <f>C43*D43</f>
        <v>0</v>
      </c>
      <c r="F43" s="351">
        <f>F42-F44-F45</f>
        <v>0</v>
      </c>
      <c r="G43" s="339">
        <v>1</v>
      </c>
      <c r="H43" s="308">
        <f>F43*G43</f>
        <v>0</v>
      </c>
    </row>
    <row r="44" spans="2:8" ht="15.75" customHeight="1">
      <c r="B44" s="330" t="s">
        <v>457</v>
      </c>
      <c r="C44" s="338"/>
      <c r="D44" s="339">
        <v>1.3</v>
      </c>
      <c r="E44" s="308">
        <f>C44*D44</f>
        <v>0</v>
      </c>
      <c r="F44" s="346"/>
      <c r="G44" s="339">
        <v>1.3</v>
      </c>
      <c r="H44" s="308">
        <f>F44*G44</f>
        <v>0</v>
      </c>
    </row>
    <row r="45" spans="2:8" ht="15.75" customHeight="1">
      <c r="B45" s="330" t="s">
        <v>458</v>
      </c>
      <c r="C45" s="342"/>
      <c r="D45" s="343">
        <v>1.5</v>
      </c>
      <c r="E45" s="308">
        <f>C45*D45</f>
        <v>0</v>
      </c>
      <c r="F45" s="347"/>
      <c r="G45" s="343">
        <v>1.5</v>
      </c>
      <c r="H45" s="308">
        <f>F45*G45</f>
        <v>0</v>
      </c>
    </row>
    <row r="46" spans="2:8" ht="15.75" customHeight="1" thickBot="1">
      <c r="B46" s="331"/>
      <c r="C46" s="333"/>
      <c r="D46" s="358" t="s">
        <v>436</v>
      </c>
      <c r="E46" s="348">
        <f>SUM(E43:E45)</f>
        <v>0</v>
      </c>
      <c r="F46" s="322"/>
      <c r="G46" s="358" t="s">
        <v>436</v>
      </c>
      <c r="H46" s="348">
        <f>SUM(H43:H45)</f>
        <v>0</v>
      </c>
    </row>
    <row r="47" spans="2:8" ht="15.75" customHeight="1">
      <c r="B47" s="332"/>
      <c r="C47" s="125"/>
      <c r="D47" s="329" t="s">
        <v>451</v>
      </c>
      <c r="E47" s="319"/>
      <c r="F47" s="125"/>
      <c r="G47" s="329" t="s">
        <v>452</v>
      </c>
      <c r="H47" s="319"/>
    </row>
    <row r="48" spans="2:8" ht="15.75" customHeight="1">
      <c r="B48" s="330" t="s">
        <v>455</v>
      </c>
      <c r="C48" s="336"/>
      <c r="D48" s="291" t="s">
        <v>471</v>
      </c>
      <c r="E48" s="334" t="s">
        <v>459</v>
      </c>
      <c r="F48" s="345"/>
      <c r="G48" s="291" t="s">
        <v>471</v>
      </c>
      <c r="H48" s="334" t="s">
        <v>459</v>
      </c>
    </row>
    <row r="49" spans="2:8" ht="15.75" customHeight="1">
      <c r="B49" s="330" t="s">
        <v>456</v>
      </c>
      <c r="C49" s="349">
        <f>C48-C50-C51</f>
        <v>0</v>
      </c>
      <c r="D49" s="339">
        <v>1</v>
      </c>
      <c r="E49" s="308">
        <f>C49*D49</f>
        <v>0</v>
      </c>
      <c r="F49" s="351">
        <f>F48-F50-F51</f>
        <v>0</v>
      </c>
      <c r="G49" s="339">
        <v>1</v>
      </c>
      <c r="H49" s="308">
        <f>F49*G49</f>
        <v>0</v>
      </c>
    </row>
    <row r="50" spans="2:8" ht="15.75" customHeight="1">
      <c r="B50" s="330" t="s">
        <v>457</v>
      </c>
      <c r="C50" s="338"/>
      <c r="D50" s="339">
        <v>1.3</v>
      </c>
      <c r="E50" s="308">
        <f>C50*D50</f>
        <v>0</v>
      </c>
      <c r="F50" s="346"/>
      <c r="G50" s="339">
        <v>1.3</v>
      </c>
      <c r="H50" s="308">
        <f>F50*G50</f>
        <v>0</v>
      </c>
    </row>
    <row r="51" spans="2:8" ht="15.75" customHeight="1">
      <c r="B51" s="330" t="s">
        <v>458</v>
      </c>
      <c r="C51" s="342"/>
      <c r="D51" s="343">
        <v>1.5</v>
      </c>
      <c r="E51" s="308">
        <f>C51*D51</f>
        <v>0</v>
      </c>
      <c r="F51" s="347"/>
      <c r="G51" s="343">
        <v>1.5</v>
      </c>
      <c r="H51" s="308">
        <f>F51*G51</f>
        <v>0</v>
      </c>
    </row>
    <row r="52" spans="2:8" ht="15.75" customHeight="1">
      <c r="B52" s="331"/>
      <c r="C52" s="6"/>
      <c r="D52" s="382" t="s">
        <v>436</v>
      </c>
      <c r="E52" s="383">
        <f>SUM(E49:E51)</f>
        <v>0</v>
      </c>
      <c r="F52" s="6"/>
      <c r="G52" s="382" t="s">
        <v>436</v>
      </c>
      <c r="H52" s="383">
        <f>SUM(H49:H51)</f>
        <v>0</v>
      </c>
    </row>
    <row r="53" spans="1:8" ht="31.5" customHeight="1" thickBot="1">
      <c r="A53" s="319"/>
      <c r="B53" s="384"/>
      <c r="C53" s="446" t="s">
        <v>486</v>
      </c>
      <c r="D53" s="446"/>
      <c r="E53" s="446"/>
      <c r="F53" s="446"/>
      <c r="G53" s="446"/>
      <c r="H53" s="447"/>
    </row>
    <row r="54" ht="12" customHeight="1"/>
    <row r="55" spans="1:8" ht="20.25" customHeight="1" thickBot="1">
      <c r="A55" s="52"/>
      <c r="B55" s="442" t="s">
        <v>467</v>
      </c>
      <c r="C55" s="443"/>
      <c r="D55" s="443"/>
      <c r="E55" s="443"/>
      <c r="F55" s="443"/>
      <c r="G55" s="443"/>
      <c r="H55" s="443"/>
    </row>
    <row r="56" spans="3:8" ht="15.75" customHeight="1">
      <c r="C56" s="355" t="s">
        <v>447</v>
      </c>
      <c r="D56" s="297" t="s">
        <v>448</v>
      </c>
      <c r="E56" s="297" t="s">
        <v>449</v>
      </c>
      <c r="F56" s="297" t="s">
        <v>450</v>
      </c>
      <c r="G56" s="297" t="s">
        <v>451</v>
      </c>
      <c r="H56" s="298" t="s">
        <v>452</v>
      </c>
    </row>
    <row r="57" spans="2:8" ht="15.75" customHeight="1" thickBot="1">
      <c r="B57" s="296" t="s">
        <v>462</v>
      </c>
      <c r="C57" s="356">
        <f>IF($C$28="","",IF($E$40=0,"",$C$28/$E$40))</f>
      </c>
      <c r="D57" s="356">
        <f>IF($D$28="","",IF($H$40=0,"",$D$28/$H$40))</f>
      </c>
      <c r="E57" s="356">
        <f>IF($E$28="","",IF($E$46=0,"",$E$28/$E$46))</f>
      </c>
      <c r="F57" s="356">
        <f>IF($F$28="","",IF($H$46=0,"",$F$28/$H$46))</f>
      </c>
      <c r="G57" s="356">
        <f>IF($G$28="","",IF($E$52=0,"",$G$28/$E$52))</f>
      </c>
      <c r="H57" s="356">
        <f>IF($H$28="","",IF($H$52=0,"",$H$28/$H$52))</f>
      </c>
    </row>
    <row r="58" ht="12" customHeight="1" thickBot="1"/>
    <row r="59" spans="4:5" ht="15.75" customHeight="1" thickBot="1">
      <c r="D59" s="335" t="s">
        <v>463</v>
      </c>
      <c r="E59" s="357">
        <f>MIN(C57:H57)</f>
        <v>0</v>
      </c>
    </row>
    <row r="60" ht="12" customHeight="1"/>
    <row r="61" spans="2:8" ht="20.25" customHeight="1" thickBot="1">
      <c r="B61" s="442" t="s">
        <v>474</v>
      </c>
      <c r="C61" s="443"/>
      <c r="D61" s="443"/>
      <c r="E61" s="443"/>
      <c r="F61" s="443"/>
      <c r="G61" s="443"/>
      <c r="H61" s="443"/>
    </row>
    <row r="62" ht="12" customHeight="1"/>
    <row r="63" spans="4:7" ht="15.75" customHeight="1">
      <c r="D63" s="296" t="s">
        <v>464</v>
      </c>
      <c r="E63" s="364"/>
      <c r="F63" s="365"/>
      <c r="G63" s="366"/>
    </row>
    <row r="64" spans="4:5" ht="15.75" customHeight="1">
      <c r="D64" s="296" t="s">
        <v>465</v>
      </c>
      <c r="E64" s="381"/>
    </row>
    <row r="65" ht="12" customHeight="1" thickBot="1"/>
    <row r="66" spans="4:5" ht="15.75" customHeight="1" thickBot="1">
      <c r="D66" s="335" t="s">
        <v>466</v>
      </c>
      <c r="E66" s="357">
        <f>IF(E59=0,E64,MIN(E59,E64))</f>
        <v>0</v>
      </c>
    </row>
    <row r="67" ht="12.75"/>
  </sheetData>
  <sheetProtection/>
  <mergeCells count="8">
    <mergeCell ref="B34:H34"/>
    <mergeCell ref="B55:H55"/>
    <mergeCell ref="B61:H61"/>
    <mergeCell ref="C4:D4"/>
    <mergeCell ref="C5:D5"/>
    <mergeCell ref="C6:D6"/>
    <mergeCell ref="B10:H10"/>
    <mergeCell ref="C53:H53"/>
  </mergeCells>
  <printOptions horizontalCentered="1"/>
  <pageMargins left="0.5" right="0.5" top="1" bottom="1" header="0.5" footer="0.5"/>
  <pageSetup fitToHeight="1" fitToWidth="1" horizontalDpi="600" verticalDpi="600" orientation="portrait" scale="63" r:id="rId3"/>
  <headerFooter alignWithMargins="0">
    <oddFooter xml:space="preserve">&amp;L&amp;8City of Chicago
Dept. of Water Management&amp;C&amp;8Permit Application&amp;R&amp;8&amp;A
Page&amp;P </oddFooter>
  </headerFooter>
  <legacyDrawing r:id="rId2"/>
</worksheet>
</file>

<file path=xl/worksheets/sheet4.xml><?xml version="1.0" encoding="utf-8"?>
<worksheet xmlns="http://schemas.openxmlformats.org/spreadsheetml/2006/main" xmlns:r="http://schemas.openxmlformats.org/officeDocument/2006/relationships">
  <dimension ref="A1:L94"/>
  <sheetViews>
    <sheetView showGridLines="0" zoomScalePageLayoutView="0" workbookViewId="0" topLeftCell="A1">
      <selection activeCell="D13" sqref="D13"/>
    </sheetView>
  </sheetViews>
  <sheetFormatPr defaultColWidth="9.140625" defaultRowHeight="12.75"/>
  <cols>
    <col min="1" max="1" width="14.8515625" style="0" customWidth="1"/>
    <col min="2" max="2" width="18.421875" style="0" customWidth="1"/>
    <col min="3" max="3" width="33.421875" style="0" customWidth="1"/>
    <col min="4" max="4" width="14.8515625" style="0" customWidth="1"/>
    <col min="5" max="5" width="12.28125" style="0" customWidth="1"/>
    <col min="6" max="6" width="11.140625" style="0" customWidth="1"/>
    <col min="7" max="7" width="12.7109375" style="0" customWidth="1"/>
    <col min="8" max="8" width="13.421875" style="0" customWidth="1"/>
    <col min="9" max="9" width="14.8515625" style="0" customWidth="1"/>
  </cols>
  <sheetData>
    <row r="1" spans="1:8" ht="18">
      <c r="A1" s="131" t="s">
        <v>119</v>
      </c>
      <c r="B1" s="124"/>
      <c r="C1" s="124"/>
      <c r="D1" s="124"/>
      <c r="E1" s="124"/>
      <c r="F1" s="124"/>
      <c r="G1" s="124"/>
      <c r="H1" s="124"/>
    </row>
    <row r="2" spans="1:9" ht="18">
      <c r="A2" s="131" t="s">
        <v>375</v>
      </c>
      <c r="B2" s="124"/>
      <c r="C2" s="124"/>
      <c r="D2" s="124"/>
      <c r="E2" s="124"/>
      <c r="F2" s="124"/>
      <c r="G2" s="268"/>
      <c r="H2" s="268"/>
      <c r="I2" s="233"/>
    </row>
    <row r="3" spans="1:9" ht="12.75" customHeight="1">
      <c r="A3" s="131"/>
      <c r="B3" s="124"/>
      <c r="C3" s="124"/>
      <c r="D3" s="124"/>
      <c r="E3" s="124"/>
      <c r="F3" s="124"/>
      <c r="G3" s="269"/>
      <c r="H3" s="270"/>
      <c r="I3" s="233"/>
    </row>
    <row r="4" spans="1:9" ht="12.75" customHeight="1">
      <c r="A4" t="s">
        <v>123</v>
      </c>
      <c r="B4" s="123">
        <f>IF(COVER!$D$15="","",COVER!$D$15)</f>
      </c>
      <c r="C4" s="146"/>
      <c r="D4" s="124"/>
      <c r="E4" s="124"/>
      <c r="F4" s="124"/>
      <c r="G4" s="269"/>
      <c r="H4" s="270"/>
      <c r="I4" s="233"/>
    </row>
    <row r="5" spans="1:9" ht="12.75" customHeight="1">
      <c r="A5" t="s">
        <v>124</v>
      </c>
      <c r="B5" s="147">
        <f>IF(COVER!$D$18="","",COVER!$D$18)</f>
      </c>
      <c r="C5" s="148"/>
      <c r="D5" s="124"/>
      <c r="E5" s="124"/>
      <c r="F5" s="124"/>
      <c r="G5" s="268"/>
      <c r="H5" s="268"/>
      <c r="I5" s="233"/>
    </row>
    <row r="6" spans="1:8" ht="12.75" customHeight="1">
      <c r="A6" t="s">
        <v>125</v>
      </c>
      <c r="B6" s="147">
        <f>IF(COVER!$F$21="","",COVER!$F$21)</f>
      </c>
      <c r="C6" s="148"/>
      <c r="D6" s="124"/>
      <c r="E6" s="124"/>
      <c r="F6" s="124"/>
      <c r="G6" s="124"/>
      <c r="H6" s="124"/>
    </row>
    <row r="7" ht="12.75" customHeight="1"/>
    <row r="8" ht="18">
      <c r="A8" s="132" t="s">
        <v>292</v>
      </c>
    </row>
    <row r="9" spans="1:8" ht="12.75">
      <c r="A9" s="3"/>
      <c r="B9" s="6"/>
      <c r="C9" s="3"/>
      <c r="D9" s="3"/>
      <c r="E9" s="3"/>
      <c r="F9" s="5"/>
      <c r="G9" s="5"/>
      <c r="H9" s="5"/>
    </row>
    <row r="10" spans="1:10" ht="12.75">
      <c r="A10" s="7"/>
      <c r="B10" s="8"/>
      <c r="C10" s="7"/>
      <c r="D10" s="7"/>
      <c r="E10" s="7"/>
      <c r="F10" s="7"/>
      <c r="G10" s="7"/>
      <c r="H10" s="7"/>
      <c r="I10" s="8"/>
      <c r="J10" s="8"/>
    </row>
    <row r="11" spans="1:10" ht="12.75" customHeight="1">
      <c r="A11" s="27" t="s">
        <v>11</v>
      </c>
      <c r="B11" s="4" t="s">
        <v>0</v>
      </c>
      <c r="C11" s="7"/>
      <c r="D11" s="476" t="s">
        <v>590</v>
      </c>
      <c r="E11" s="478" t="s">
        <v>6</v>
      </c>
      <c r="F11" s="469" t="s">
        <v>591</v>
      </c>
      <c r="G11" s="18"/>
      <c r="H11" s="16"/>
      <c r="I11" s="8"/>
      <c r="J11" s="8"/>
    </row>
    <row r="12" spans="1:10" ht="30.75" customHeight="1" thickBot="1">
      <c r="A12" s="7"/>
      <c r="B12" s="7"/>
      <c r="C12" s="7"/>
      <c r="D12" s="477"/>
      <c r="E12" s="479"/>
      <c r="F12" s="470"/>
      <c r="G12" s="54"/>
      <c r="H12" s="16"/>
      <c r="I12" s="8"/>
      <c r="J12" s="8"/>
    </row>
    <row r="13" spans="1:10" ht="12.75">
      <c r="A13" s="7"/>
      <c r="B13" s="480" t="s">
        <v>1</v>
      </c>
      <c r="C13" s="135" t="s">
        <v>63</v>
      </c>
      <c r="D13" s="136"/>
      <c r="E13" s="137">
        <v>0.18</v>
      </c>
      <c r="F13" s="133">
        <f aca="true" t="shared" si="0" ref="F13:F28">D13*E13</f>
        <v>0</v>
      </c>
      <c r="H13" s="16"/>
      <c r="I13" s="8"/>
      <c r="J13" s="8"/>
    </row>
    <row r="14" spans="1:10" ht="12.75">
      <c r="A14" s="7"/>
      <c r="B14" s="481"/>
      <c r="C14" s="9" t="s">
        <v>65</v>
      </c>
      <c r="D14" s="44"/>
      <c r="E14" s="138">
        <v>0.27</v>
      </c>
      <c r="F14" s="134">
        <f t="shared" si="0"/>
        <v>0</v>
      </c>
      <c r="H14" s="16"/>
      <c r="I14" s="8"/>
      <c r="J14" s="8"/>
    </row>
    <row r="15" spans="1:10" ht="12.75">
      <c r="A15" s="7"/>
      <c r="B15" s="481"/>
      <c r="C15" s="9" t="s">
        <v>64</v>
      </c>
      <c r="D15" s="44"/>
      <c r="E15" s="138">
        <v>0.36</v>
      </c>
      <c r="F15" s="134">
        <f t="shared" si="0"/>
        <v>0</v>
      </c>
      <c r="H15" s="16"/>
      <c r="I15" s="8"/>
      <c r="J15" s="8"/>
    </row>
    <row r="16" spans="1:10" ht="12.75">
      <c r="A16" s="7"/>
      <c r="B16" s="481"/>
      <c r="C16" s="9" t="s">
        <v>66</v>
      </c>
      <c r="D16" s="44"/>
      <c r="E16" s="138">
        <v>0.3</v>
      </c>
      <c r="F16" s="134">
        <f t="shared" si="0"/>
        <v>0</v>
      </c>
      <c r="H16" s="16"/>
      <c r="I16" s="8"/>
      <c r="J16" s="8"/>
    </row>
    <row r="17" spans="1:10" ht="12.75">
      <c r="A17" s="7"/>
      <c r="B17" s="481"/>
      <c r="C17" s="9" t="s">
        <v>67</v>
      </c>
      <c r="D17" s="44"/>
      <c r="E17" s="138">
        <v>0.42</v>
      </c>
      <c r="F17" s="134">
        <f t="shared" si="0"/>
        <v>0</v>
      </c>
      <c r="H17" s="16"/>
      <c r="I17" s="8"/>
      <c r="J17" s="8"/>
    </row>
    <row r="18" spans="1:10" ht="12.75">
      <c r="A18" s="7"/>
      <c r="B18" s="481"/>
      <c r="C18" s="9" t="s">
        <v>68</v>
      </c>
      <c r="D18" s="44"/>
      <c r="E18" s="138">
        <v>0.47</v>
      </c>
      <c r="F18" s="134">
        <f t="shared" si="0"/>
        <v>0</v>
      </c>
      <c r="H18" s="16"/>
      <c r="I18" s="8"/>
      <c r="J18" s="8"/>
    </row>
    <row r="19" spans="1:10" ht="12.75">
      <c r="A19" s="7"/>
      <c r="B19" s="482"/>
      <c r="C19" s="9" t="s">
        <v>69</v>
      </c>
      <c r="D19" s="44"/>
      <c r="E19" s="138">
        <v>0.39</v>
      </c>
      <c r="F19" s="134">
        <f t="shared" si="0"/>
        <v>0</v>
      </c>
      <c r="H19" s="16"/>
      <c r="I19" s="8"/>
      <c r="J19" s="8"/>
    </row>
    <row r="20" spans="1:10" ht="12.75">
      <c r="A20" s="7"/>
      <c r="B20" s="482"/>
      <c r="C20" s="9" t="s">
        <v>19</v>
      </c>
      <c r="D20" s="44"/>
      <c r="E20" s="138">
        <v>0.1</v>
      </c>
      <c r="F20" s="134">
        <f t="shared" si="0"/>
        <v>0</v>
      </c>
      <c r="H20" s="16"/>
      <c r="I20" s="8"/>
      <c r="J20" s="8"/>
    </row>
    <row r="21" spans="1:10" ht="12.75">
      <c r="A21" s="7"/>
      <c r="B21" s="482"/>
      <c r="C21" s="9" t="s">
        <v>62</v>
      </c>
      <c r="D21" s="44"/>
      <c r="E21" s="138">
        <v>0.75</v>
      </c>
      <c r="F21" s="134">
        <f t="shared" si="0"/>
        <v>0</v>
      </c>
      <c r="H21" s="16"/>
      <c r="I21" s="8"/>
      <c r="J21" s="8"/>
    </row>
    <row r="22" spans="1:10" ht="12.75">
      <c r="A22" s="7"/>
      <c r="B22" s="482"/>
      <c r="C22" s="259" t="s">
        <v>2</v>
      </c>
      <c r="D22" s="260"/>
      <c r="E22" s="261">
        <v>0.8</v>
      </c>
      <c r="F22" s="134">
        <f t="shared" si="0"/>
        <v>0</v>
      </c>
      <c r="H22" s="16"/>
      <c r="I22" s="8"/>
      <c r="J22" s="8"/>
    </row>
    <row r="23" spans="1:10" ht="13.5" thickBot="1">
      <c r="A23" s="7"/>
      <c r="B23" s="483"/>
      <c r="C23" s="139" t="s">
        <v>58</v>
      </c>
      <c r="D23" s="140"/>
      <c r="E23" s="262">
        <v>0.5</v>
      </c>
      <c r="F23" s="134">
        <f t="shared" si="0"/>
        <v>0</v>
      </c>
      <c r="H23" s="16"/>
      <c r="I23" s="8"/>
      <c r="J23" s="8"/>
    </row>
    <row r="24" spans="1:10" ht="12.75">
      <c r="A24" s="7"/>
      <c r="B24" s="480" t="s">
        <v>4</v>
      </c>
      <c r="C24" s="135" t="s">
        <v>3</v>
      </c>
      <c r="D24" s="136"/>
      <c r="E24" s="137">
        <v>0.7</v>
      </c>
      <c r="F24" s="134">
        <f t="shared" si="0"/>
        <v>0</v>
      </c>
      <c r="H24" s="16"/>
      <c r="I24" s="8"/>
      <c r="J24" s="8"/>
    </row>
    <row r="25" spans="1:10" ht="12.75">
      <c r="A25" s="7"/>
      <c r="B25" s="481"/>
      <c r="C25" s="9" t="s">
        <v>86</v>
      </c>
      <c r="D25" s="44"/>
      <c r="E25" s="138">
        <v>0.95</v>
      </c>
      <c r="F25" s="134">
        <f t="shared" si="0"/>
        <v>0</v>
      </c>
      <c r="H25" s="16"/>
      <c r="I25" s="8"/>
      <c r="J25" s="8"/>
    </row>
    <row r="26" spans="1:10" ht="12.75">
      <c r="A26" s="7"/>
      <c r="B26" s="481"/>
      <c r="C26" s="9" t="s">
        <v>87</v>
      </c>
      <c r="D26" s="44"/>
      <c r="E26" s="138">
        <v>0.95</v>
      </c>
      <c r="F26" s="134">
        <f t="shared" si="0"/>
        <v>0</v>
      </c>
      <c r="H26" s="16"/>
      <c r="I26" s="8"/>
      <c r="J26" s="8"/>
    </row>
    <row r="27" spans="1:10" ht="51">
      <c r="A27" s="7"/>
      <c r="B27" s="481"/>
      <c r="C27" s="32" t="s">
        <v>592</v>
      </c>
      <c r="D27" s="44"/>
      <c r="E27" s="138">
        <v>0.95</v>
      </c>
      <c r="F27" s="134">
        <f t="shared" si="0"/>
        <v>0</v>
      </c>
      <c r="H27" s="16"/>
      <c r="I27" s="8"/>
      <c r="J27" s="8"/>
    </row>
    <row r="28" spans="1:10" ht="13.5" thickBot="1">
      <c r="A28" s="7"/>
      <c r="B28" s="484"/>
      <c r="C28" s="139" t="s">
        <v>88</v>
      </c>
      <c r="D28" s="140"/>
      <c r="E28" s="141">
        <v>1</v>
      </c>
      <c r="F28" s="134">
        <f t="shared" si="0"/>
        <v>0</v>
      </c>
      <c r="H28" s="16"/>
      <c r="I28" s="8"/>
      <c r="J28" s="8"/>
    </row>
    <row r="29" spans="1:12" ht="42" customHeight="1">
      <c r="A29" s="7"/>
      <c r="B29" s="471" t="s">
        <v>100</v>
      </c>
      <c r="C29" s="277" t="s">
        <v>362</v>
      </c>
      <c r="D29" s="278">
        <f>'1.2 BMPs-Rate Control Credit'!D33</f>
        <v>0</v>
      </c>
      <c r="E29" s="279">
        <v>1</v>
      </c>
      <c r="F29" s="129"/>
      <c r="H29" s="16"/>
      <c r="I29" s="8"/>
      <c r="J29" s="8"/>
      <c r="L29" s="102"/>
    </row>
    <row r="30" spans="1:12" ht="55.5" customHeight="1" thickBot="1">
      <c r="A30" s="7"/>
      <c r="B30" s="472"/>
      <c r="C30" s="280" t="s">
        <v>361</v>
      </c>
      <c r="D30" s="281">
        <f>'1.2 BMPs-Rate Control Credit'!D51</f>
        <v>0</v>
      </c>
      <c r="E30" s="282" t="s">
        <v>363</v>
      </c>
      <c r="F30" s="276">
        <f>'1.2 BMPs-Rate Control Credit'!E51</f>
        <v>0</v>
      </c>
      <c r="H30" s="16"/>
      <c r="I30" s="8"/>
      <c r="J30" s="8"/>
      <c r="L30" s="102"/>
    </row>
    <row r="31" spans="1:12" ht="29.25" customHeight="1">
      <c r="A31" s="7"/>
      <c r="B31" s="10"/>
      <c r="C31" s="111"/>
      <c r="D31" s="112"/>
      <c r="E31" s="19"/>
      <c r="F31" s="8"/>
      <c r="H31" s="16"/>
      <c r="I31" s="8"/>
      <c r="J31" s="8"/>
      <c r="L31" s="102"/>
    </row>
    <row r="32" spans="1:10" ht="12.75">
      <c r="A32" s="7"/>
      <c r="B32" s="10"/>
      <c r="C32" s="11"/>
      <c r="D32" s="11"/>
      <c r="E32" s="7"/>
      <c r="F32" s="8"/>
      <c r="G32" s="20"/>
      <c r="H32" s="20"/>
      <c r="I32" s="8"/>
      <c r="J32" s="8"/>
    </row>
    <row r="33" spans="1:10" ht="12.75">
      <c r="A33" s="7"/>
      <c r="B33" s="449" t="s">
        <v>10</v>
      </c>
      <c r="C33" s="12" t="s">
        <v>558</v>
      </c>
      <c r="D33" s="239">
        <f>SUM(D13:D23)</f>
        <v>0</v>
      </c>
      <c r="E33" s="42" t="s">
        <v>553</v>
      </c>
      <c r="F33" s="8"/>
      <c r="G33" s="8"/>
      <c r="H33" s="7"/>
      <c r="I33" s="8"/>
      <c r="J33" s="8"/>
    </row>
    <row r="34" spans="1:10" ht="12.75">
      <c r="A34" s="7"/>
      <c r="B34" s="450"/>
      <c r="C34" s="12" t="s">
        <v>559</v>
      </c>
      <c r="D34" s="239">
        <f>SUM(D24:D28)</f>
        <v>0</v>
      </c>
      <c r="E34" s="42" t="s">
        <v>553</v>
      </c>
      <c r="F34" s="8"/>
      <c r="G34" s="8"/>
      <c r="H34" s="7"/>
      <c r="I34" s="8"/>
      <c r="J34" s="8"/>
    </row>
    <row r="35" spans="1:10" ht="12.75">
      <c r="A35" s="7"/>
      <c r="B35" s="450"/>
      <c r="C35" s="12" t="s">
        <v>560</v>
      </c>
      <c r="D35" s="239">
        <f>SUM(D29:D30)</f>
        <v>0</v>
      </c>
      <c r="E35" s="42" t="s">
        <v>553</v>
      </c>
      <c r="F35" s="8"/>
      <c r="G35" s="8"/>
      <c r="H35" s="7"/>
      <c r="I35" s="8"/>
      <c r="J35" s="8"/>
    </row>
    <row r="36" spans="1:10" ht="12.75">
      <c r="A36" s="7"/>
      <c r="B36" s="450"/>
      <c r="C36" s="12" t="s">
        <v>577</v>
      </c>
      <c r="D36" s="239">
        <f>SUM(D33:D35)</f>
        <v>0</v>
      </c>
      <c r="E36" s="42" t="s">
        <v>553</v>
      </c>
      <c r="F36" s="415">
        <f>D36/43560</f>
        <v>0</v>
      </c>
      <c r="G36" s="42" t="s">
        <v>554</v>
      </c>
      <c r="H36" s="7"/>
      <c r="I36" s="8"/>
      <c r="J36" s="8"/>
    </row>
    <row r="37" spans="1:10" ht="12.75">
      <c r="A37" s="7"/>
      <c r="B37" s="450"/>
      <c r="C37" s="12" t="s">
        <v>578</v>
      </c>
      <c r="D37" s="414">
        <f>D36-D27</f>
        <v>0</v>
      </c>
      <c r="E37" s="42" t="s">
        <v>553</v>
      </c>
      <c r="F37" s="415">
        <f>D37/43560</f>
        <v>0</v>
      </c>
      <c r="G37" s="42" t="s">
        <v>554</v>
      </c>
      <c r="H37" s="7"/>
      <c r="I37" s="8"/>
      <c r="J37" s="8"/>
    </row>
    <row r="38" spans="1:10" ht="12.75">
      <c r="A38" s="7"/>
      <c r="B38" s="450"/>
      <c r="C38" s="12" t="s">
        <v>106</v>
      </c>
      <c r="D38" s="240">
        <f>IF(D33+D34=0,0,SUM(F13:F28)/(D33+D34))</f>
        <v>0</v>
      </c>
      <c r="E38" s="42" t="s">
        <v>143</v>
      </c>
      <c r="F38" s="8"/>
      <c r="G38" s="8"/>
      <c r="H38" s="7"/>
      <c r="I38" s="8"/>
      <c r="J38" s="8"/>
    </row>
    <row r="39" spans="1:9" ht="12.75">
      <c r="A39" s="7"/>
      <c r="B39" s="451"/>
      <c r="C39" s="104" t="s">
        <v>579</v>
      </c>
      <c r="D39" s="240">
        <f>IF(D35=0,0,IF(D30&lt;&gt;0,IF(1-F30/((5.713/12)*D30)&lt;=0.1,(((D33+D34)*D38)+(D29*E29)+(D30*(0.1)))/D36,(((D33+D34)*D38)+(D29*E29)+(D30*(1-F30/((5.713/12)*D30))))/D36),(((D33+D34)*D38)+(D29*E29))/D36))</f>
        <v>0</v>
      </c>
      <c r="E39" s="42" t="s">
        <v>143</v>
      </c>
      <c r="H39" s="7"/>
      <c r="I39" s="8"/>
    </row>
    <row r="40" spans="1:9" ht="54.75" customHeight="1">
      <c r="A40" s="7"/>
      <c r="B40" s="6"/>
      <c r="C40" s="142" t="s">
        <v>53</v>
      </c>
      <c r="D40" s="485" t="s">
        <v>117</v>
      </c>
      <c r="E40" s="486"/>
      <c r="F40" s="487"/>
      <c r="H40" s="7"/>
      <c r="I40" s="8"/>
    </row>
    <row r="41" spans="1:9" ht="12.75">
      <c r="A41" s="7"/>
      <c r="B41" s="6"/>
      <c r="C41" s="11"/>
      <c r="D41" s="24"/>
      <c r="E41" s="25"/>
      <c r="H41" s="7"/>
      <c r="I41" s="8"/>
    </row>
    <row r="42" spans="1:9" ht="12.75">
      <c r="A42" s="7"/>
      <c r="B42" s="6"/>
      <c r="C42" s="11"/>
      <c r="D42" s="24"/>
      <c r="E42" s="25"/>
      <c r="H42" s="7"/>
      <c r="I42" s="8"/>
    </row>
    <row r="43" spans="1:9" ht="38.25">
      <c r="A43" s="27" t="s">
        <v>12</v>
      </c>
      <c r="B43" s="26" t="s">
        <v>23</v>
      </c>
      <c r="C43" s="14"/>
      <c r="E43" s="453" t="s">
        <v>71</v>
      </c>
      <c r="F43" s="461" t="s">
        <v>85</v>
      </c>
      <c r="G43" s="462"/>
      <c r="H43" s="462"/>
      <c r="I43" s="463"/>
    </row>
    <row r="44" spans="1:9" ht="12.75">
      <c r="A44" s="11"/>
      <c r="B44" s="21"/>
      <c r="C44" s="11"/>
      <c r="E44" s="454"/>
      <c r="F44" s="464"/>
      <c r="G44" s="465"/>
      <c r="H44" s="465"/>
      <c r="I44" s="466"/>
    </row>
    <row r="45" spans="1:9" ht="42.75" customHeight="1">
      <c r="A45" s="17"/>
      <c r="B45" s="30" t="s">
        <v>15</v>
      </c>
      <c r="C45" s="448" t="s">
        <v>24</v>
      </c>
      <c r="D45" s="448"/>
      <c r="E45" s="48"/>
      <c r="F45" s="458" t="str">
        <f>IF(E45="yes","Roof area can be directed to Waters and not included in detention calculations, delete roof from table above and make note to that effect, release rate is based on 1 cfs/ac."," ")</f>
        <v> </v>
      </c>
      <c r="G45" s="459"/>
      <c r="H45" s="459"/>
      <c r="I45" s="460"/>
    </row>
    <row r="46" spans="1:9" ht="66" customHeight="1">
      <c r="A46" s="17"/>
      <c r="B46" s="30" t="s">
        <v>16</v>
      </c>
      <c r="C46" s="448" t="s">
        <v>25</v>
      </c>
      <c r="D46" s="448"/>
      <c r="E46" s="48"/>
      <c r="F46" s="458" t="str">
        <f>IF(E46="yes","On-site detention storage to be provided for minimum 5-year event, enter appropriate design storm in Cell C72; attach another worksheet for 100-year event for total required storage (may be provided in ROW when conditions are met (Regs, Part 3.7.1))"," ")</f>
        <v> </v>
      </c>
      <c r="G46" s="459"/>
      <c r="H46" s="459"/>
      <c r="I46" s="460"/>
    </row>
    <row r="47" spans="1:9" ht="64.5" customHeight="1">
      <c r="A47" s="17"/>
      <c r="B47" s="30" t="s">
        <v>17</v>
      </c>
      <c r="C47" s="448" t="s">
        <v>561</v>
      </c>
      <c r="D47" s="448"/>
      <c r="E47" s="48"/>
      <c r="F47" s="458">
        <f>IF(E47="yes","Building detention to be provided for min. 10-year event. Change design storm in Cell C72.  Remainder of site must detain for the 100-year event. Split the allowable release rate proportionally between the building and non-building areas of the site.","")</f>
      </c>
      <c r="G47" s="459"/>
      <c r="H47" s="459"/>
      <c r="I47" s="460"/>
    </row>
    <row r="48" spans="1:9" ht="43.5" customHeight="1">
      <c r="A48" s="17"/>
      <c r="B48" s="30" t="s">
        <v>55</v>
      </c>
      <c r="C48" s="448" t="s">
        <v>26</v>
      </c>
      <c r="D48" s="448"/>
      <c r="E48" s="48"/>
      <c r="F48" s="458" t="str">
        <f>IF(E48="yes",IF(D36&lt;1.75*43560,"Standard Detention Release Rate based on total site area excluding sidewalls (cell D37)","Site is larger than 1.75 acres and can't use standard maximum release rate, type no instead"),IF(E48="no","Complete Tab 0.0 Release Rate to calculate the allowable release rate for the site unless a 1 cfs/ac release rate to waters will be used."," "))</f>
        <v> </v>
      </c>
      <c r="G48" s="459"/>
      <c r="H48" s="459"/>
      <c r="I48" s="460"/>
    </row>
    <row r="49" spans="1:9" ht="55.5" customHeight="1">
      <c r="A49" s="17"/>
      <c r="B49" s="30" t="s">
        <v>57</v>
      </c>
      <c r="C49" s="448" t="s">
        <v>73</v>
      </c>
      <c r="D49" s="448"/>
      <c r="E49" s="48"/>
      <c r="F49" s="458" t="str">
        <f>IF(E49="yes","Detention Release Rate must be 0.75 cfs per acre or less unless total release rate is limited to minimum practical rate (0.15 cfs) "," ")</f>
        <v> </v>
      </c>
      <c r="G49" s="459"/>
      <c r="H49" s="459"/>
      <c r="I49" s="460"/>
    </row>
    <row r="50" spans="1:9" ht="54" customHeight="1">
      <c r="A50" s="17"/>
      <c r="B50" s="30" t="s">
        <v>72</v>
      </c>
      <c r="C50" s="448" t="s">
        <v>118</v>
      </c>
      <c r="D50" s="448"/>
      <c r="E50" s="48"/>
      <c r="F50" s="458" t="str">
        <f>IF(E50="yes","Special computational procedure required to determine allowable release rate, see Stormwater Manual."," ")</f>
        <v> </v>
      </c>
      <c r="G50" s="459"/>
      <c r="H50" s="459"/>
      <c r="I50" s="460"/>
    </row>
    <row r="51" spans="1:9" ht="54" customHeight="1">
      <c r="A51" s="17"/>
      <c r="B51" s="30" t="s">
        <v>410</v>
      </c>
      <c r="C51" s="448" t="s">
        <v>411</v>
      </c>
      <c r="D51" s="448"/>
      <c r="E51" s="48"/>
      <c r="F51" s="458" t="str">
        <f>IF(E51="yes","Oversized detention is allowed to meet volume control requirements.  After completing this worksheet, fill out Tab 2.1.9 to design oversized detention.",IF(E51="no","Oversized detention is not allowed.  Do not fill out Tab 2.1.9"," "))</f>
        <v> </v>
      </c>
      <c r="G51" s="459"/>
      <c r="H51" s="459"/>
      <c r="I51" s="460"/>
    </row>
    <row r="52" spans="1:8" ht="18">
      <c r="A52" s="131" t="s">
        <v>119</v>
      </c>
      <c r="B52" s="124"/>
      <c r="C52" s="124"/>
      <c r="D52" s="124"/>
      <c r="E52" s="124"/>
      <c r="F52" s="124"/>
      <c r="G52" s="124"/>
      <c r="H52" s="124"/>
    </row>
    <row r="53" spans="1:8" ht="18">
      <c r="A53" s="131" t="s">
        <v>120</v>
      </c>
      <c r="B53" s="124"/>
      <c r="C53" s="124"/>
      <c r="D53" s="124"/>
      <c r="E53" s="124"/>
      <c r="F53" s="124"/>
      <c r="G53" s="124"/>
      <c r="H53" s="124"/>
    </row>
    <row r="54" spans="1:8" ht="12.75" customHeight="1">
      <c r="A54" s="131"/>
      <c r="B54" s="124"/>
      <c r="C54" s="124"/>
      <c r="D54" s="124"/>
      <c r="E54" s="124"/>
      <c r="F54" s="124"/>
      <c r="G54" s="124"/>
      <c r="H54" s="124"/>
    </row>
    <row r="55" spans="1:8" ht="12.75" customHeight="1">
      <c r="A55" t="s">
        <v>123</v>
      </c>
      <c r="B55" s="123">
        <f>IF(COVER!$D$15="","",COVER!$D$15)</f>
      </c>
      <c r="C55" s="146"/>
      <c r="D55" s="124"/>
      <c r="E55" s="124"/>
      <c r="F55" s="124"/>
      <c r="G55" s="124"/>
      <c r="H55" s="124"/>
    </row>
    <row r="56" spans="1:8" ht="12.75" customHeight="1">
      <c r="A56" t="s">
        <v>124</v>
      </c>
      <c r="B56" s="147">
        <f>IF(COVER!$D$18="","",COVER!$D$18)</f>
      </c>
      <c r="C56" s="146"/>
      <c r="D56" s="124"/>
      <c r="E56" s="124"/>
      <c r="F56" s="124"/>
      <c r="G56" s="124"/>
      <c r="H56" s="124"/>
    </row>
    <row r="57" spans="1:8" ht="12.75" customHeight="1">
      <c r="A57" t="s">
        <v>125</v>
      </c>
      <c r="B57" s="147">
        <f>IF(COVER!$G$21="","",COVER!$G$21)</f>
      </c>
      <c r="C57" s="146"/>
      <c r="D57" s="124"/>
      <c r="E57" s="124"/>
      <c r="F57" s="124"/>
      <c r="G57" s="124"/>
      <c r="H57" s="124"/>
    </row>
    <row r="58" ht="12.75" customHeight="1"/>
    <row r="59" ht="18">
      <c r="A59" s="132" t="s">
        <v>293</v>
      </c>
    </row>
    <row r="60" ht="12.75" customHeight="1">
      <c r="A60" s="132"/>
    </row>
    <row r="61" spans="1:9" ht="12.75">
      <c r="A61" s="29" t="s">
        <v>13</v>
      </c>
      <c r="B61" s="28" t="s">
        <v>28</v>
      </c>
      <c r="C61" s="17"/>
      <c r="D61" s="17"/>
      <c r="E61" s="17"/>
      <c r="F61" s="17"/>
      <c r="G61" s="17"/>
      <c r="H61" s="17"/>
      <c r="I61" s="6"/>
    </row>
    <row r="62" spans="1:9" ht="12.75">
      <c r="A62" s="29"/>
      <c r="B62" s="28"/>
      <c r="C62" s="45"/>
      <c r="D62" s="17"/>
      <c r="E62" s="17"/>
      <c r="F62" s="17"/>
      <c r="G62" s="17"/>
      <c r="H62" s="17"/>
      <c r="I62" s="6"/>
    </row>
    <row r="63" spans="1:8" ht="42" customHeight="1">
      <c r="A63" s="34"/>
      <c r="B63" s="33" t="s">
        <v>582</v>
      </c>
      <c r="C63" s="237">
        <f>IF(AND(E63="To be computed and entered in the cell to the right by applicant -&gt;",G63="")=TRUE,"Awaiting entry from the right",IF(ISNUMBER(E63)=FALSE,G63,E63))</f>
        <v>0</v>
      </c>
      <c r="D63" s="42" t="s">
        <v>59</v>
      </c>
      <c r="E63" s="488" t="str">
        <f>IF(E45="yes",(D36-D27)/43560,IF(E48="yes",IF(D36-D27&lt;=21780,0.15,IF(D36-D27&lt;43560,0.15+(D36-D27-21780)/21780*0.1,0.25)),IF(E48="no","Release Rate from Tab 0.0.  To override, enter value in the cell to the right -&gt;","Waiting for Answer to Question 1 and 4")))</f>
        <v>Waiting for Answer to Question 1 and 4</v>
      </c>
      <c r="F63" s="489"/>
      <c r="G63" s="375">
        <f>'0.0 RELEASE RATE'!E66*(D37)/43560</f>
        <v>0</v>
      </c>
      <c r="H63" s="2"/>
    </row>
    <row r="64" spans="1:8" ht="81.75" customHeight="1">
      <c r="A64" s="34"/>
      <c r="B64" s="33" t="s">
        <v>581</v>
      </c>
      <c r="C64" s="237">
        <f>'1.1 Dry Weather Flow'!E30</f>
        <v>0</v>
      </c>
      <c r="D64" s="42" t="s">
        <v>59</v>
      </c>
      <c r="E64" s="455" t="str">
        <f>IF(ISNUMBER(C63)=FALSE,"Awaiting other entries",IF(C64&gt;0.1*C63,"DWF exceeds 10% of maximum release rate, maximum release rate will be reduced in Cell D66 to account for DWF, if D65 is &gt; existing 5-year discharge (to be computed separately, then 25 GPM may be needed as release rate",IF(C64=0,"Waiting for Dry Weather Flow worksheet to be completed","DWF is less than 10% of maximum release rate and will not be included in release rate for storage computation")))</f>
        <v>Waiting for Dry Weather Flow worksheet to be completed</v>
      </c>
      <c r="F64" s="456"/>
      <c r="G64" s="457"/>
      <c r="H64" s="2"/>
    </row>
    <row r="65" spans="1:8" ht="49.5" customHeight="1">
      <c r="A65" s="34"/>
      <c r="B65" s="33" t="s">
        <v>585</v>
      </c>
      <c r="C65" s="237">
        <f>'1.2 BMPs-Rate Control Credit'!G33</f>
        <v>0</v>
      </c>
      <c r="D65" s="42" t="s">
        <v>59</v>
      </c>
      <c r="E65" s="473" t="str">
        <f>IF(C65=0,"No BMPs with infiltration beds entered on BMP Summary Worksheet or soil's infiltration rate is less than 0.5 in/hr"," ")</f>
        <v>No BMPs with infiltration beds entered on BMP Summary Worksheet or soil's infiltration rate is less than 0.5 in/hr</v>
      </c>
      <c r="F65" s="474"/>
      <c r="G65" s="475"/>
      <c r="H65" s="2"/>
    </row>
    <row r="66" spans="1:8" ht="45" customHeight="1">
      <c r="A66" s="34"/>
      <c r="B66" s="33" t="s">
        <v>583</v>
      </c>
      <c r="C66" s="238">
        <f>IF(C64&gt;0.1*C63,IF(1.1*C63-C64&lt;0.15,"0.15 or possibly 25 gpm, need to override Cell G72",1.1*C63+C65-C64),C63+C65)</f>
        <v>0</v>
      </c>
      <c r="D66" s="42" t="s">
        <v>59</v>
      </c>
      <c r="E66" s="467"/>
      <c r="F66" s="468"/>
      <c r="G66" s="468"/>
      <c r="H66" s="2"/>
    </row>
    <row r="67" spans="1:8" ht="31.5" customHeight="1">
      <c r="A67" s="34"/>
      <c r="B67" s="33" t="s">
        <v>584</v>
      </c>
      <c r="C67" s="239">
        <f>I92</f>
        <v>0</v>
      </c>
      <c r="D67" s="42" t="s">
        <v>555</v>
      </c>
      <c r="E67" s="8"/>
      <c r="F67" s="8"/>
      <c r="G67" s="8"/>
      <c r="H67" s="2"/>
    </row>
    <row r="68" spans="1:8" ht="42" customHeight="1">
      <c r="A68" s="15"/>
      <c r="B68" s="452"/>
      <c r="C68" s="452"/>
      <c r="D68" s="452"/>
      <c r="E68" s="8"/>
      <c r="F68" s="8"/>
      <c r="G68" s="8"/>
      <c r="H68" s="2"/>
    </row>
    <row r="69" spans="1:10" ht="17.25" customHeight="1">
      <c r="A69" s="36" t="s">
        <v>110</v>
      </c>
      <c r="B69" s="57"/>
      <c r="C69" s="57"/>
      <c r="D69" s="57"/>
      <c r="E69" s="57"/>
      <c r="F69" s="57"/>
      <c r="G69" s="57"/>
      <c r="H69" s="58"/>
      <c r="I69" s="59"/>
      <c r="J69" s="60"/>
    </row>
    <row r="70" spans="1:10" ht="12.75">
      <c r="A70" s="8" t="s">
        <v>497</v>
      </c>
      <c r="B70" s="37"/>
      <c r="C70" s="37"/>
      <c r="D70" s="39"/>
      <c r="E70" s="57"/>
      <c r="F70" s="37"/>
      <c r="G70" s="37"/>
      <c r="H70" s="37"/>
      <c r="I70" s="38"/>
      <c r="J70" s="60"/>
    </row>
    <row r="71" spans="1:10" ht="13.5" thickBot="1">
      <c r="A71" s="37"/>
      <c r="B71" s="37"/>
      <c r="C71" s="53" t="s">
        <v>56</v>
      </c>
      <c r="D71" s="40"/>
      <c r="E71" s="37"/>
      <c r="F71" s="37"/>
      <c r="G71" s="37"/>
      <c r="H71" s="37"/>
      <c r="I71" s="38"/>
      <c r="J71" s="60"/>
    </row>
    <row r="72" spans="1:10" ht="42" customHeight="1" thickBot="1" thickTop="1">
      <c r="A72" s="57"/>
      <c r="B72" s="57"/>
      <c r="C72" s="224">
        <v>100</v>
      </c>
      <c r="D72" s="57"/>
      <c r="E72" s="77" t="s">
        <v>29</v>
      </c>
      <c r="F72" s="78"/>
      <c r="G72" s="427">
        <f>C66</f>
        <v>0</v>
      </c>
      <c r="H72" s="79" t="s">
        <v>59</v>
      </c>
      <c r="I72" s="61"/>
      <c r="J72" s="13"/>
    </row>
    <row r="73" spans="1:10" ht="13.5" thickTop="1">
      <c r="A73" s="62"/>
      <c r="B73" s="62"/>
      <c r="C73" s="62"/>
      <c r="D73" s="62"/>
      <c r="E73" s="63" t="s">
        <v>126</v>
      </c>
      <c r="F73" s="63"/>
      <c r="G73" s="63" t="s">
        <v>36</v>
      </c>
      <c r="H73" s="63" t="s">
        <v>37</v>
      </c>
      <c r="I73" s="62" t="s">
        <v>37</v>
      </c>
      <c r="J73" s="60"/>
    </row>
    <row r="74" spans="1:10" ht="12.75">
      <c r="A74" s="63" t="s">
        <v>30</v>
      </c>
      <c r="B74" s="63" t="s">
        <v>31</v>
      </c>
      <c r="C74" s="63" t="s">
        <v>32</v>
      </c>
      <c r="D74" s="63" t="s">
        <v>33</v>
      </c>
      <c r="E74" s="63" t="s">
        <v>42</v>
      </c>
      <c r="F74" s="63" t="s">
        <v>35</v>
      </c>
      <c r="G74" s="63" t="s">
        <v>42</v>
      </c>
      <c r="H74" s="63" t="s">
        <v>42</v>
      </c>
      <c r="I74" s="63" t="s">
        <v>44</v>
      </c>
      <c r="J74" s="60"/>
    </row>
    <row r="75" spans="1:10" ht="12.75">
      <c r="A75" s="63" t="s">
        <v>38</v>
      </c>
      <c r="B75" s="63" t="s">
        <v>39</v>
      </c>
      <c r="C75" s="63" t="s">
        <v>40</v>
      </c>
      <c r="D75" s="63" t="s">
        <v>41</v>
      </c>
      <c r="E75" s="63" t="s">
        <v>49</v>
      </c>
      <c r="F75" s="63" t="s">
        <v>43</v>
      </c>
      <c r="G75" s="63" t="s">
        <v>586</v>
      </c>
      <c r="H75" s="63" t="s">
        <v>587</v>
      </c>
      <c r="I75" s="63" t="s">
        <v>588</v>
      </c>
      <c r="J75" s="60"/>
    </row>
    <row r="76" spans="1:10" ht="12.75">
      <c r="A76" s="64" t="s">
        <v>589</v>
      </c>
      <c r="B76" s="64" t="s">
        <v>46</v>
      </c>
      <c r="C76" s="64" t="s">
        <v>47</v>
      </c>
      <c r="D76" s="64" t="s">
        <v>48</v>
      </c>
      <c r="E76" s="64" t="s">
        <v>50</v>
      </c>
      <c r="F76" s="64" t="s">
        <v>556</v>
      </c>
      <c r="G76" s="64" t="s">
        <v>50</v>
      </c>
      <c r="H76" s="64" t="s">
        <v>50</v>
      </c>
      <c r="I76" s="64" t="s">
        <v>556</v>
      </c>
      <c r="J76" s="60"/>
    </row>
    <row r="77" spans="1:10" ht="12.75">
      <c r="A77" s="49">
        <v>5</v>
      </c>
      <c r="B77" s="65">
        <f>IF(D39&lt;&gt;0,D39,D38)</f>
        <v>0</v>
      </c>
      <c r="C77" s="66">
        <f>IF(C$72=100,IDF!L18,IF(C$72=50,IDF!J18,IF(C$72=25,IDF!H18,IF(C$72=10,IDF!F18,IF(C$72=5,IDF!D18,"invalid entry in C71")))))</f>
        <v>10.92</v>
      </c>
      <c r="D77" s="67">
        <f>D36/43560</f>
        <v>0</v>
      </c>
      <c r="E77" s="68">
        <f>B77*C77*D77</f>
        <v>0</v>
      </c>
      <c r="F77" s="69">
        <f aca="true" t="shared" si="1" ref="F77:F91">A77*E77*60</f>
        <v>0</v>
      </c>
      <c r="G77" s="379">
        <f>G72</f>
        <v>0</v>
      </c>
      <c r="H77" s="68">
        <f aca="true" t="shared" si="2" ref="H77:H91">E77-G77</f>
        <v>0</v>
      </c>
      <c r="I77" s="46">
        <f>H77*A77*60</f>
        <v>0</v>
      </c>
      <c r="J77" s="13"/>
    </row>
    <row r="78" spans="1:10" ht="12.75">
      <c r="A78" s="49">
        <v>10</v>
      </c>
      <c r="B78" s="68">
        <f>B77</f>
        <v>0</v>
      </c>
      <c r="C78" s="66">
        <f>IF(C$72=100,IDF!L19,IF(C$72=50,IDF!J19,IF(C$72=25,IDF!H19,IF(C$72=10,IDF!F19,IF(C$72=5,IDF!D19,"invalid entry in C71")))))</f>
        <v>10.02</v>
      </c>
      <c r="D78" s="67">
        <f>D77</f>
        <v>0</v>
      </c>
      <c r="E78" s="68">
        <f aca="true" t="shared" si="3" ref="E78:E91">B78*C78*D78</f>
        <v>0</v>
      </c>
      <c r="F78" s="69">
        <f t="shared" si="1"/>
        <v>0</v>
      </c>
      <c r="G78" s="379">
        <f aca="true" t="shared" si="4" ref="G78:G91">G77</f>
        <v>0</v>
      </c>
      <c r="H78" s="68">
        <f t="shared" si="2"/>
        <v>0</v>
      </c>
      <c r="I78" s="46">
        <f aca="true" t="shared" si="5" ref="I78:I91">H78*A78*60</f>
        <v>0</v>
      </c>
      <c r="J78" s="13"/>
    </row>
    <row r="79" spans="1:10" ht="12.75">
      <c r="A79" s="49">
        <v>15</v>
      </c>
      <c r="B79" s="68">
        <f aca="true" t="shared" si="6" ref="B79:B91">B78</f>
        <v>0</v>
      </c>
      <c r="C79" s="66">
        <f>IF(C$72=100,IDF!L20,IF(C$72=50,IDF!J20,IF(C$72=25,IDF!H20,IF(C$72=10,IDF!F20,IF(C$72=5,IDF!D20,"invalid entry in C71")))))</f>
        <v>8.2</v>
      </c>
      <c r="D79" s="67">
        <f aca="true" t="shared" si="7" ref="D79:D91">D78</f>
        <v>0</v>
      </c>
      <c r="E79" s="68">
        <f t="shared" si="3"/>
        <v>0</v>
      </c>
      <c r="F79" s="69">
        <f t="shared" si="1"/>
        <v>0</v>
      </c>
      <c r="G79" s="379">
        <f t="shared" si="4"/>
        <v>0</v>
      </c>
      <c r="H79" s="68">
        <f t="shared" si="2"/>
        <v>0</v>
      </c>
      <c r="I79" s="46">
        <f t="shared" si="5"/>
        <v>0</v>
      </c>
      <c r="J79" s="13"/>
    </row>
    <row r="80" spans="1:10" ht="12.75">
      <c r="A80" s="49">
        <v>30</v>
      </c>
      <c r="B80" s="68">
        <f t="shared" si="6"/>
        <v>0</v>
      </c>
      <c r="C80" s="66">
        <f>IF(C$72=100,IDF!L21,IF(C$72=50,IDF!J21,IF(C$72=25,IDF!H21,IF(C$72=10,IDF!F21,IF(C$72=5,IDF!D21,"invalid entry in C71")))))</f>
        <v>5.6</v>
      </c>
      <c r="D80" s="67">
        <f t="shared" si="7"/>
        <v>0</v>
      </c>
      <c r="E80" s="68">
        <f t="shared" si="3"/>
        <v>0</v>
      </c>
      <c r="F80" s="69">
        <f t="shared" si="1"/>
        <v>0</v>
      </c>
      <c r="G80" s="379">
        <f t="shared" si="4"/>
        <v>0</v>
      </c>
      <c r="H80" s="68">
        <f t="shared" si="2"/>
        <v>0</v>
      </c>
      <c r="I80" s="46">
        <f t="shared" si="5"/>
        <v>0</v>
      </c>
      <c r="J80" s="13"/>
    </row>
    <row r="81" spans="1:10" ht="12.75">
      <c r="A81" s="49">
        <v>60</v>
      </c>
      <c r="B81" s="68">
        <f t="shared" si="6"/>
        <v>0</v>
      </c>
      <c r="C81" s="66">
        <f>IF(C$72=100,IDF!L22,IF(C$72=50,IDF!J22,IF(C$72=25,IDF!H22,IF(C$72=10,IDF!F22,IF(C$72=5,IDF!D22,"invalid entry in C71")))))</f>
        <v>3.56</v>
      </c>
      <c r="D81" s="67">
        <f t="shared" si="7"/>
        <v>0</v>
      </c>
      <c r="E81" s="68">
        <f t="shared" si="3"/>
        <v>0</v>
      </c>
      <c r="F81" s="69">
        <f t="shared" si="1"/>
        <v>0</v>
      </c>
      <c r="G81" s="379">
        <f t="shared" si="4"/>
        <v>0</v>
      </c>
      <c r="H81" s="68">
        <f t="shared" si="2"/>
        <v>0</v>
      </c>
      <c r="I81" s="46">
        <f t="shared" si="5"/>
        <v>0</v>
      </c>
      <c r="J81" s="13"/>
    </row>
    <row r="82" spans="1:10" ht="12.75">
      <c r="A82" s="49">
        <f>2*60</f>
        <v>120</v>
      </c>
      <c r="B82" s="68">
        <f t="shared" si="6"/>
        <v>0</v>
      </c>
      <c r="C82" s="66">
        <f>IF(C$72=100,IDF!L23,IF(C$72=50,IDF!J23,IF(C$72=25,IDF!H23,IF(C$72=10,IDF!F23,IF(C$72=5,IDF!D23,"invalid entry in C71")))))</f>
        <v>2.235</v>
      </c>
      <c r="D82" s="67">
        <f>D81</f>
        <v>0</v>
      </c>
      <c r="E82" s="68">
        <f t="shared" si="3"/>
        <v>0</v>
      </c>
      <c r="F82" s="69">
        <f t="shared" si="1"/>
        <v>0</v>
      </c>
      <c r="G82" s="379">
        <f t="shared" si="4"/>
        <v>0</v>
      </c>
      <c r="H82" s="68">
        <f t="shared" si="2"/>
        <v>0</v>
      </c>
      <c r="I82" s="46">
        <f t="shared" si="5"/>
        <v>0</v>
      </c>
      <c r="J82" s="13"/>
    </row>
    <row r="83" spans="1:10" ht="12.75">
      <c r="A83" s="49">
        <f>3*60</f>
        <v>180</v>
      </c>
      <c r="B83" s="68">
        <f t="shared" si="6"/>
        <v>0</v>
      </c>
      <c r="C83" s="66">
        <f>IF(C$72=100,IDF!L24,IF(C$72=50,IDF!J24,IF(C$72=25,IDF!H24,IF(C$72=10,IDF!F24,IF(C$72=5,IDF!D24,"invalid entry in C71")))))</f>
        <v>1.6166666666666665</v>
      </c>
      <c r="D83" s="67">
        <f t="shared" si="7"/>
        <v>0</v>
      </c>
      <c r="E83" s="68">
        <f t="shared" si="3"/>
        <v>0</v>
      </c>
      <c r="F83" s="69">
        <f t="shared" si="1"/>
        <v>0</v>
      </c>
      <c r="G83" s="379">
        <f t="shared" si="4"/>
        <v>0</v>
      </c>
      <c r="H83" s="68">
        <f t="shared" si="2"/>
        <v>0</v>
      </c>
      <c r="I83" s="46">
        <f t="shared" si="5"/>
        <v>0</v>
      </c>
      <c r="J83" s="13"/>
    </row>
    <row r="84" spans="1:10" ht="12.75">
      <c r="A84" s="49">
        <f>6*60</f>
        <v>360</v>
      </c>
      <c r="B84" s="68">
        <f t="shared" si="6"/>
        <v>0</v>
      </c>
      <c r="C84" s="66">
        <f>IF(C$72=100,IDF!L25,IF(C$72=50,IDF!J25,IF(C$72=25,IDF!H25,IF(C$72=10,IDF!F25,IF(C$72=5,IDF!D25,"invalid entry in C71")))))</f>
        <v>0.9466666666666665</v>
      </c>
      <c r="D84" s="67">
        <f t="shared" si="7"/>
        <v>0</v>
      </c>
      <c r="E84" s="68">
        <f t="shared" si="3"/>
        <v>0</v>
      </c>
      <c r="F84" s="69">
        <f t="shared" si="1"/>
        <v>0</v>
      </c>
      <c r="G84" s="379">
        <f t="shared" si="4"/>
        <v>0</v>
      </c>
      <c r="H84" s="68">
        <f t="shared" si="2"/>
        <v>0</v>
      </c>
      <c r="I84" s="46">
        <f t="shared" si="5"/>
        <v>0</v>
      </c>
      <c r="J84" s="13"/>
    </row>
    <row r="85" spans="1:10" ht="12.75">
      <c r="A85" s="49">
        <f>12*60</f>
        <v>720</v>
      </c>
      <c r="B85" s="68">
        <f t="shared" si="6"/>
        <v>0</v>
      </c>
      <c r="C85" s="66">
        <f>IF(C$72=100,IDF!L26,IF(C$72=50,IDF!J26,IF(C$72=25,IDF!H26,IF(C$72=10,IDF!F26,IF(C$72=5,IDF!D26,"invalid entry in C71")))))</f>
        <v>0.5491666666666666</v>
      </c>
      <c r="D85" s="67">
        <f t="shared" si="7"/>
        <v>0</v>
      </c>
      <c r="E85" s="68">
        <f t="shared" si="3"/>
        <v>0</v>
      </c>
      <c r="F85" s="69">
        <f t="shared" si="1"/>
        <v>0</v>
      </c>
      <c r="G85" s="379">
        <f t="shared" si="4"/>
        <v>0</v>
      </c>
      <c r="H85" s="68">
        <f t="shared" si="2"/>
        <v>0</v>
      </c>
      <c r="I85" s="46">
        <f t="shared" si="5"/>
        <v>0</v>
      </c>
      <c r="J85" s="13"/>
    </row>
    <row r="86" spans="1:10" ht="12.75">
      <c r="A86" s="49">
        <f>18*60</f>
        <v>1080</v>
      </c>
      <c r="B86" s="68">
        <f t="shared" si="6"/>
        <v>0</v>
      </c>
      <c r="C86" s="66">
        <f>IF(C$72=100,IDF!L27,IF(C$72=50,IDF!J27,IF(C$72=25,IDF!H27,IF(C$72=10,IDF!F27,IF(C$72=5,IDF!D27,"invalid entry in C71")))))</f>
        <v>0.3872222222222222</v>
      </c>
      <c r="D86" s="67">
        <f t="shared" si="7"/>
        <v>0</v>
      </c>
      <c r="E86" s="68">
        <f t="shared" si="3"/>
        <v>0</v>
      </c>
      <c r="F86" s="69">
        <f t="shared" si="1"/>
        <v>0</v>
      </c>
      <c r="G86" s="379">
        <f t="shared" si="4"/>
        <v>0</v>
      </c>
      <c r="H86" s="68">
        <f t="shared" si="2"/>
        <v>0</v>
      </c>
      <c r="I86" s="46">
        <f t="shared" si="5"/>
        <v>0</v>
      </c>
      <c r="J86" s="13"/>
    </row>
    <row r="87" spans="1:10" ht="12.75">
      <c r="A87" s="49">
        <f>24*60</f>
        <v>1440</v>
      </c>
      <c r="B87" s="68">
        <f t="shared" si="6"/>
        <v>0</v>
      </c>
      <c r="C87" s="66">
        <f>IF(C$72=100,IDF!L28,IF(C$72=50,IDF!J28,IF(C$72=25,IDF!H28,IF(C$72=10,IDF!F28,IF(C$72=5,IDF!D28,"invalid entry in C71")))))</f>
        <v>0.3158333333333333</v>
      </c>
      <c r="D87" s="67">
        <f t="shared" si="7"/>
        <v>0</v>
      </c>
      <c r="E87" s="68">
        <f t="shared" si="3"/>
        <v>0</v>
      </c>
      <c r="F87" s="69">
        <f t="shared" si="1"/>
        <v>0</v>
      </c>
      <c r="G87" s="379">
        <f t="shared" si="4"/>
        <v>0</v>
      </c>
      <c r="H87" s="68">
        <f t="shared" si="2"/>
        <v>0</v>
      </c>
      <c r="I87" s="46">
        <f t="shared" si="5"/>
        <v>0</v>
      </c>
      <c r="J87" s="13"/>
    </row>
    <row r="88" spans="1:10" ht="12.75">
      <c r="A88" s="49">
        <f>48*60</f>
        <v>2880</v>
      </c>
      <c r="B88" s="68">
        <f t="shared" si="6"/>
        <v>0</v>
      </c>
      <c r="C88" s="66">
        <f>IF(C$72=100,IDF!L29,IF(C$72=50,IDF!J29,IF(C$72=25,IDF!H29,IF(C$72=10,IDF!F29,IF(C$72=5,IDF!D29,"invalid entry in C71")))))</f>
        <v>0.16999999999999998</v>
      </c>
      <c r="D88" s="67">
        <f t="shared" si="7"/>
        <v>0</v>
      </c>
      <c r="E88" s="68">
        <f t="shared" si="3"/>
        <v>0</v>
      </c>
      <c r="F88" s="69">
        <f t="shared" si="1"/>
        <v>0</v>
      </c>
      <c r="G88" s="379">
        <f t="shared" si="4"/>
        <v>0</v>
      </c>
      <c r="H88" s="68">
        <f t="shared" si="2"/>
        <v>0</v>
      </c>
      <c r="I88" s="46">
        <f t="shared" si="5"/>
        <v>0</v>
      </c>
      <c r="J88" s="13"/>
    </row>
    <row r="89" spans="1:10" ht="12.75">
      <c r="A89" s="49">
        <f>72*60</f>
        <v>4320</v>
      </c>
      <c r="B89" s="68">
        <f t="shared" si="6"/>
        <v>0</v>
      </c>
      <c r="C89" s="66">
        <f>IF(C$72=100,IDF!L30,IF(C$72=50,IDF!J30,IF(C$72=25,IDF!H30,IF(C$72=10,IDF!F30,IF(C$72=5,IDF!D30,"invalid entry in C71")))))</f>
        <v>0.12194444444444442</v>
      </c>
      <c r="D89" s="67">
        <f t="shared" si="7"/>
        <v>0</v>
      </c>
      <c r="E89" s="68">
        <f t="shared" si="3"/>
        <v>0</v>
      </c>
      <c r="F89" s="69">
        <f t="shared" si="1"/>
        <v>0</v>
      </c>
      <c r="G89" s="379">
        <f t="shared" si="4"/>
        <v>0</v>
      </c>
      <c r="H89" s="68">
        <f t="shared" si="2"/>
        <v>0</v>
      </c>
      <c r="I89" s="46">
        <f t="shared" si="5"/>
        <v>0</v>
      </c>
      <c r="J89" s="13"/>
    </row>
    <row r="90" spans="1:10" ht="12.75">
      <c r="A90" s="49">
        <f>5*24*60</f>
        <v>7200</v>
      </c>
      <c r="B90" s="68">
        <f t="shared" si="6"/>
        <v>0</v>
      </c>
      <c r="C90" s="66">
        <f>IF(C$72=100,IDF!L31,IF(C$72=50,IDF!J31,IF(C$72=25,IDF!H31,IF(C$72=10,IDF!F31,IF(C$72=5,IDF!D31,"invalid entry in C71")))))</f>
        <v>0.083</v>
      </c>
      <c r="D90" s="67">
        <f t="shared" si="7"/>
        <v>0</v>
      </c>
      <c r="E90" s="68">
        <f t="shared" si="3"/>
        <v>0</v>
      </c>
      <c r="F90" s="69">
        <f t="shared" si="1"/>
        <v>0</v>
      </c>
      <c r="G90" s="379">
        <f t="shared" si="4"/>
        <v>0</v>
      </c>
      <c r="H90" s="68">
        <f t="shared" si="2"/>
        <v>0</v>
      </c>
      <c r="I90" s="46">
        <f t="shared" si="5"/>
        <v>0</v>
      </c>
      <c r="J90" s="13"/>
    </row>
    <row r="91" spans="1:10" ht="12.75">
      <c r="A91" s="49">
        <f>10*24*60</f>
        <v>14400</v>
      </c>
      <c r="B91" s="68">
        <f t="shared" si="6"/>
        <v>0</v>
      </c>
      <c r="C91" s="66">
        <f>IF(C$72=100,IDF!L32,IF(C$72=50,IDF!J32,IF(C$72=25,IDF!H32,IF(C$72=10,IDF!F32,IF(C$72=5,IDF!D32,"invalid entry in C71")))))</f>
        <v>0.04641666666666667</v>
      </c>
      <c r="D91" s="67">
        <f t="shared" si="7"/>
        <v>0</v>
      </c>
      <c r="E91" s="68">
        <f t="shared" si="3"/>
        <v>0</v>
      </c>
      <c r="F91" s="69">
        <f t="shared" si="1"/>
        <v>0</v>
      </c>
      <c r="G91" s="379">
        <f t="shared" si="4"/>
        <v>0</v>
      </c>
      <c r="H91" s="68">
        <f t="shared" si="2"/>
        <v>0</v>
      </c>
      <c r="I91" s="46">
        <f t="shared" si="5"/>
        <v>0</v>
      </c>
      <c r="J91" s="13"/>
    </row>
    <row r="92" spans="1:10" ht="38.25">
      <c r="A92" s="70"/>
      <c r="B92" s="70"/>
      <c r="C92" s="70"/>
      <c r="D92" s="70"/>
      <c r="E92" s="70"/>
      <c r="F92" s="13"/>
      <c r="G92" s="71"/>
      <c r="H92" s="41" t="s">
        <v>557</v>
      </c>
      <c r="I92" s="239">
        <f>MAX(I77:I91)</f>
        <v>0</v>
      </c>
      <c r="J92" s="13"/>
    </row>
    <row r="93" spans="1:10" ht="12.75">
      <c r="A93" s="70" t="s">
        <v>52</v>
      </c>
      <c r="B93" s="70"/>
      <c r="C93" s="70"/>
      <c r="D93" s="70"/>
      <c r="E93" s="70"/>
      <c r="F93" s="70"/>
      <c r="G93" s="70"/>
      <c r="H93" s="70"/>
      <c r="I93" s="72"/>
      <c r="J93" s="13"/>
    </row>
    <row r="94" spans="1:10" ht="12.75">
      <c r="A94" s="70"/>
      <c r="B94" s="70"/>
      <c r="C94" s="70"/>
      <c r="D94" s="70"/>
      <c r="E94" s="70"/>
      <c r="F94" s="70"/>
      <c r="G94" s="70"/>
      <c r="H94" s="70"/>
      <c r="I94" s="73"/>
      <c r="J94" s="13"/>
    </row>
  </sheetData>
  <sheetProtection/>
  <mergeCells count="29">
    <mergeCell ref="E66:G66"/>
    <mergeCell ref="F11:F12"/>
    <mergeCell ref="B29:B30"/>
    <mergeCell ref="E65:G65"/>
    <mergeCell ref="D11:D12"/>
    <mergeCell ref="E11:E12"/>
    <mergeCell ref="B13:B23"/>
    <mergeCell ref="B24:B28"/>
    <mergeCell ref="D40:F40"/>
    <mergeCell ref="E63:F63"/>
    <mergeCell ref="E43:E44"/>
    <mergeCell ref="E64:G64"/>
    <mergeCell ref="F50:I50"/>
    <mergeCell ref="F43:I44"/>
    <mergeCell ref="F45:I45"/>
    <mergeCell ref="F46:I46"/>
    <mergeCell ref="F47:I47"/>
    <mergeCell ref="F48:I48"/>
    <mergeCell ref="F49:I49"/>
    <mergeCell ref="F51:I51"/>
    <mergeCell ref="C50:D50"/>
    <mergeCell ref="B33:B39"/>
    <mergeCell ref="C48:D48"/>
    <mergeCell ref="B68:D68"/>
    <mergeCell ref="C45:D45"/>
    <mergeCell ref="C46:D46"/>
    <mergeCell ref="C47:D47"/>
    <mergeCell ref="C49:D49"/>
    <mergeCell ref="C51:D51"/>
  </mergeCells>
  <conditionalFormatting sqref="I77:I92">
    <cfRule type="cellIs" priority="5" dxfId="0" operator="equal" stopIfTrue="1">
      <formula>$I$92</formula>
    </cfRule>
  </conditionalFormatting>
  <printOptions horizontalCentered="1"/>
  <pageMargins left="0.75" right="0.75" top="1" bottom="1" header="0.5" footer="0.5"/>
  <pageSetup fitToHeight="2" horizontalDpi="600" verticalDpi="600" orientation="portrait" scale="56" r:id="rId3"/>
  <headerFooter alignWithMargins="0">
    <oddFooter>&amp;L&amp;8City of Chicago
Dept. of Water Management&amp;C&amp;8Permit Applicaiton&amp;R&amp;8&amp;A
Page &amp;P</oddFooter>
  </headerFooter>
  <rowBreaks count="1" manualBreakCount="1">
    <brk id="51" max="8" man="1"/>
  </rowBreaks>
  <legacyDrawing r:id="rId2"/>
</worksheet>
</file>

<file path=xl/worksheets/sheet5.xml><?xml version="1.0" encoding="utf-8"?>
<worksheet xmlns="http://schemas.openxmlformats.org/spreadsheetml/2006/main" xmlns:r="http://schemas.openxmlformats.org/officeDocument/2006/relationships">
  <dimension ref="A1:I43"/>
  <sheetViews>
    <sheetView showGridLines="0" zoomScalePageLayoutView="0" workbookViewId="0" topLeftCell="A1">
      <selection activeCell="D16" sqref="D16"/>
    </sheetView>
  </sheetViews>
  <sheetFormatPr defaultColWidth="9.140625" defaultRowHeight="12.75"/>
  <cols>
    <col min="1" max="1" width="30.57421875" style="0" customWidth="1"/>
    <col min="2" max="2" width="12.00390625" style="0" customWidth="1"/>
    <col min="3" max="3" width="17.57421875" style="0" customWidth="1"/>
    <col min="4" max="4" width="8.8515625" style="0" customWidth="1"/>
    <col min="5" max="5" width="10.28125" style="0" customWidth="1"/>
    <col min="6" max="6" width="8.57421875" style="0" customWidth="1"/>
    <col min="7" max="7" width="17.421875" style="0" customWidth="1"/>
    <col min="8" max="8" width="29.8515625" style="0" bestFit="1"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23">
        <f>IF(COVER!$F$21="","",COVER!$F$21)</f>
      </c>
      <c r="C6" s="148"/>
      <c r="D6" s="124"/>
      <c r="E6" s="124"/>
      <c r="F6" s="124"/>
      <c r="G6" s="124"/>
      <c r="H6" s="124"/>
    </row>
    <row r="7" spans="2:8" ht="12.75" customHeight="1">
      <c r="B7" s="118"/>
      <c r="C7" s="124"/>
      <c r="D7" s="124"/>
      <c r="E7" s="124"/>
      <c r="F7" s="124"/>
      <c r="G7" s="124"/>
      <c r="H7" s="124"/>
    </row>
    <row r="8" ht="18">
      <c r="A8" s="131" t="s">
        <v>270</v>
      </c>
    </row>
    <row r="9" spans="1:8" ht="12.75">
      <c r="A9" s="3"/>
      <c r="B9" s="3"/>
      <c r="C9" s="3"/>
      <c r="D9" s="3"/>
      <c r="E9" s="3"/>
      <c r="F9" s="5"/>
      <c r="G9" s="5"/>
      <c r="H9" s="5"/>
    </row>
    <row r="10" spans="1:9" ht="12.75">
      <c r="A10" s="4" t="s">
        <v>562</v>
      </c>
      <c r="C10" s="7"/>
      <c r="D10" s="7"/>
      <c r="E10" s="7"/>
      <c r="F10" s="7"/>
      <c r="G10" s="7"/>
      <c r="H10" s="7"/>
      <c r="I10" s="8"/>
    </row>
    <row r="11" spans="1:9" ht="12.75">
      <c r="A11" s="4"/>
      <c r="C11" s="7"/>
      <c r="D11" s="7"/>
      <c r="E11" s="7"/>
      <c r="F11" s="7"/>
      <c r="G11" s="7"/>
      <c r="H11" s="7"/>
      <c r="I11" s="8"/>
    </row>
    <row r="12" spans="1:9" ht="26.25" customHeight="1">
      <c r="A12" s="501" t="s">
        <v>580</v>
      </c>
      <c r="B12" s="501"/>
      <c r="C12" s="501"/>
      <c r="D12" s="501"/>
      <c r="E12" s="501"/>
      <c r="F12" s="501"/>
      <c r="G12" s="7"/>
      <c r="H12" s="7"/>
      <c r="I12" s="8"/>
    </row>
    <row r="13" spans="1:9" ht="12.75">
      <c r="A13" s="27"/>
      <c r="B13" s="4"/>
      <c r="C13" s="7"/>
      <c r="D13" s="7"/>
      <c r="E13" s="7"/>
      <c r="F13" s="7"/>
      <c r="G13" s="7"/>
      <c r="H13" s="7"/>
      <c r="I13" s="8"/>
    </row>
    <row r="14" spans="1:9" ht="12.75" customHeight="1">
      <c r="A14" s="284" t="s">
        <v>74</v>
      </c>
      <c r="B14" s="490" t="s">
        <v>398</v>
      </c>
      <c r="C14" s="274"/>
      <c r="D14" s="285" t="s">
        <v>399</v>
      </c>
      <c r="E14" s="497" t="s">
        <v>562</v>
      </c>
      <c r="F14" s="498"/>
      <c r="G14" s="18"/>
      <c r="H14" s="6"/>
      <c r="I14" s="8"/>
    </row>
    <row r="15" spans="1:9" ht="27" customHeight="1">
      <c r="A15" s="286"/>
      <c r="B15" s="491"/>
      <c r="C15" s="275"/>
      <c r="D15" s="287"/>
      <c r="E15" s="499"/>
      <c r="F15" s="500"/>
      <c r="G15" s="54"/>
      <c r="H15" s="6"/>
      <c r="I15" s="8"/>
    </row>
    <row r="16" spans="1:9" ht="12.75">
      <c r="A16" s="86" t="s">
        <v>382</v>
      </c>
      <c r="B16" s="87">
        <v>250</v>
      </c>
      <c r="C16" s="87" t="s">
        <v>383</v>
      </c>
      <c r="D16" s="263"/>
      <c r="E16" s="223">
        <f aca="true" t="shared" si="0" ref="E16:E29">B16*D16/7.4805/24/3600</f>
        <v>0</v>
      </c>
      <c r="F16" s="42" t="s">
        <v>59</v>
      </c>
      <c r="G16" s="55"/>
      <c r="H16" s="6"/>
      <c r="I16" s="8"/>
    </row>
    <row r="17" spans="1:9" ht="12.75">
      <c r="A17" s="86" t="s">
        <v>384</v>
      </c>
      <c r="B17" s="87">
        <v>150</v>
      </c>
      <c r="C17" s="87" t="s">
        <v>385</v>
      </c>
      <c r="D17" s="263"/>
      <c r="E17" s="223">
        <f t="shared" si="0"/>
        <v>0</v>
      </c>
      <c r="F17" s="42" t="s">
        <v>59</v>
      </c>
      <c r="G17" s="55"/>
      <c r="H17" s="6"/>
      <c r="I17" s="8"/>
    </row>
    <row r="18" spans="1:9" ht="12.75">
      <c r="A18" s="86" t="s">
        <v>392</v>
      </c>
      <c r="B18" s="87">
        <v>60</v>
      </c>
      <c r="C18" s="87" t="s">
        <v>385</v>
      </c>
      <c r="D18" s="263"/>
      <c r="E18" s="223">
        <f>B18*D18/7.4805/24/3600</f>
        <v>0</v>
      </c>
      <c r="F18" s="42" t="s">
        <v>59</v>
      </c>
      <c r="G18" s="55"/>
      <c r="H18" s="6"/>
      <c r="I18" s="8"/>
    </row>
    <row r="19" spans="1:9" ht="12.75">
      <c r="A19" s="86" t="s">
        <v>386</v>
      </c>
      <c r="B19" s="87">
        <v>350</v>
      </c>
      <c r="C19" s="87" t="s">
        <v>387</v>
      </c>
      <c r="D19" s="263"/>
      <c r="E19" s="223">
        <f t="shared" si="0"/>
        <v>0</v>
      </c>
      <c r="F19" s="42" t="s">
        <v>59</v>
      </c>
      <c r="G19" s="55"/>
      <c r="H19" s="6"/>
      <c r="I19" s="8"/>
    </row>
    <row r="20" spans="1:9" ht="12.75">
      <c r="A20" s="86" t="s">
        <v>388</v>
      </c>
      <c r="B20" s="87">
        <v>300</v>
      </c>
      <c r="C20" s="87" t="s">
        <v>389</v>
      </c>
      <c r="D20" s="263"/>
      <c r="E20" s="223">
        <f t="shared" si="0"/>
        <v>0</v>
      </c>
      <c r="F20" s="42" t="s">
        <v>59</v>
      </c>
      <c r="G20" s="55"/>
      <c r="H20" s="6"/>
      <c r="I20" s="8"/>
    </row>
    <row r="21" spans="1:9" ht="12.75">
      <c r="A21" s="86" t="s">
        <v>390</v>
      </c>
      <c r="B21" s="87">
        <v>300</v>
      </c>
      <c r="C21" s="87" t="s">
        <v>389</v>
      </c>
      <c r="D21" s="263"/>
      <c r="E21" s="223">
        <f t="shared" si="0"/>
        <v>0</v>
      </c>
      <c r="F21" s="42" t="s">
        <v>59</v>
      </c>
      <c r="G21" s="55"/>
      <c r="H21" s="6"/>
      <c r="I21" s="8"/>
    </row>
    <row r="22" spans="1:9" ht="12.75">
      <c r="A22" s="86" t="s">
        <v>391</v>
      </c>
      <c r="B22" s="87">
        <v>150</v>
      </c>
      <c r="C22" s="87" t="s">
        <v>389</v>
      </c>
      <c r="D22" s="263"/>
      <c r="E22" s="223">
        <f t="shared" si="0"/>
        <v>0</v>
      </c>
      <c r="F22" s="42" t="s">
        <v>59</v>
      </c>
      <c r="G22" s="55"/>
      <c r="H22" s="6"/>
      <c r="I22" s="8"/>
    </row>
    <row r="23" spans="1:9" ht="12.75">
      <c r="A23" s="86" t="s">
        <v>393</v>
      </c>
      <c r="B23" s="87">
        <v>100</v>
      </c>
      <c r="C23" s="87" t="s">
        <v>389</v>
      </c>
      <c r="D23" s="263"/>
      <c r="E23" s="223">
        <f t="shared" si="0"/>
        <v>0</v>
      </c>
      <c r="F23" s="42" t="s">
        <v>59</v>
      </c>
      <c r="G23" s="55"/>
      <c r="H23" s="6"/>
      <c r="I23" s="8"/>
    </row>
    <row r="24" spans="1:9" ht="12.75">
      <c r="A24" s="86" t="s">
        <v>75</v>
      </c>
      <c r="B24" s="87">
        <v>50</v>
      </c>
      <c r="C24" s="87" t="s">
        <v>396</v>
      </c>
      <c r="D24" s="263"/>
      <c r="E24" s="223">
        <f t="shared" si="0"/>
        <v>0</v>
      </c>
      <c r="F24" s="42" t="s">
        <v>59</v>
      </c>
      <c r="G24" s="55"/>
      <c r="H24" s="6"/>
      <c r="I24" s="8"/>
    </row>
    <row r="25" spans="1:9" ht="14.25" customHeight="1">
      <c r="A25" s="86" t="s">
        <v>76</v>
      </c>
      <c r="B25" s="87">
        <v>35</v>
      </c>
      <c r="C25" s="87" t="s">
        <v>397</v>
      </c>
      <c r="D25" s="263"/>
      <c r="E25" s="223">
        <f t="shared" si="0"/>
        <v>0</v>
      </c>
      <c r="F25" s="42" t="s">
        <v>59</v>
      </c>
      <c r="G25" s="55"/>
      <c r="H25" s="6"/>
      <c r="I25" s="8"/>
    </row>
    <row r="26" spans="1:9" ht="12.75">
      <c r="A26" s="86" t="s">
        <v>402</v>
      </c>
      <c r="B26" s="89">
        <v>15</v>
      </c>
      <c r="C26" s="89" t="s">
        <v>397</v>
      </c>
      <c r="D26" s="263"/>
      <c r="E26" s="223">
        <f t="shared" si="0"/>
        <v>0</v>
      </c>
      <c r="F26" s="42" t="s">
        <v>59</v>
      </c>
      <c r="G26" s="55"/>
      <c r="H26" s="6"/>
      <c r="I26" s="8"/>
    </row>
    <row r="27" spans="1:9" ht="12.75">
      <c r="A27" s="86" t="s">
        <v>400</v>
      </c>
      <c r="B27" s="89">
        <v>12</v>
      </c>
      <c r="C27" s="89" t="s">
        <v>395</v>
      </c>
      <c r="D27" s="263"/>
      <c r="E27" s="223">
        <f t="shared" si="0"/>
        <v>0</v>
      </c>
      <c r="F27" s="42" t="s">
        <v>59</v>
      </c>
      <c r="G27" s="55"/>
      <c r="H27" s="6"/>
      <c r="I27" s="8"/>
    </row>
    <row r="28" spans="1:9" ht="12.75">
      <c r="A28" s="86" t="s">
        <v>401</v>
      </c>
      <c r="B28" s="89">
        <v>10</v>
      </c>
      <c r="C28" s="89" t="s">
        <v>395</v>
      </c>
      <c r="D28" s="263"/>
      <c r="E28" s="223">
        <f t="shared" si="0"/>
        <v>0</v>
      </c>
      <c r="F28" s="42" t="s">
        <v>59</v>
      </c>
      <c r="G28" s="55"/>
      <c r="H28" s="6"/>
      <c r="I28" s="8"/>
    </row>
    <row r="29" spans="1:9" ht="12.75">
      <c r="A29" s="86" t="s">
        <v>394</v>
      </c>
      <c r="B29" s="89">
        <v>5</v>
      </c>
      <c r="C29" s="89" t="s">
        <v>395</v>
      </c>
      <c r="D29" s="263"/>
      <c r="E29" s="223">
        <f t="shared" si="0"/>
        <v>0</v>
      </c>
      <c r="F29" s="42" t="s">
        <v>59</v>
      </c>
      <c r="G29" s="55"/>
      <c r="H29" s="6"/>
      <c r="I29" s="8"/>
    </row>
    <row r="30" spans="1:6" ht="12.75">
      <c r="A30" s="88"/>
      <c r="B30" s="6"/>
      <c r="C30" s="6"/>
      <c r="D30" s="418" t="s">
        <v>35</v>
      </c>
      <c r="E30" s="223">
        <f>SUM(E16:E29)</f>
        <v>0</v>
      </c>
      <c r="F30" s="42" t="s">
        <v>59</v>
      </c>
    </row>
    <row r="31" spans="2:8" ht="12.75">
      <c r="B31" s="183"/>
      <c r="C31" s="495" t="s">
        <v>566</v>
      </c>
      <c r="D31" s="496"/>
      <c r="E31" s="419">
        <f>E30*43560</f>
        <v>0</v>
      </c>
      <c r="F31" s="42" t="s">
        <v>553</v>
      </c>
      <c r="G31" s="183"/>
      <c r="H31" s="183"/>
    </row>
    <row r="32" spans="2:8" ht="12.75">
      <c r="B32" s="183"/>
      <c r="C32" s="183"/>
      <c r="D32" s="183"/>
      <c r="E32" s="183"/>
      <c r="F32" s="183"/>
      <c r="G32" s="183"/>
      <c r="H32" s="183"/>
    </row>
    <row r="33" spans="1:8" ht="26.25" customHeight="1">
      <c r="A33" s="493" t="s">
        <v>567</v>
      </c>
      <c r="B33" s="494"/>
      <c r="C33" s="494"/>
      <c r="D33" s="494"/>
      <c r="E33" s="494"/>
      <c r="F33" s="494"/>
      <c r="H33" s="183"/>
    </row>
    <row r="34" spans="1:8" ht="12.75" customHeight="1">
      <c r="A34" s="416"/>
      <c r="B34" s="172"/>
      <c r="C34" s="172"/>
      <c r="D34" s="172"/>
      <c r="E34" s="172"/>
      <c r="F34" s="172"/>
      <c r="H34" s="183"/>
    </row>
    <row r="35" spans="1:8" ht="12.75">
      <c r="A35" s="183" t="s">
        <v>563</v>
      </c>
      <c r="B35" s="183"/>
      <c r="C35" s="183"/>
      <c r="D35" s="183"/>
      <c r="E35" s="183"/>
      <c r="F35" s="183"/>
      <c r="H35" s="183"/>
    </row>
    <row r="36" spans="1:6" ht="45.75" customHeight="1">
      <c r="A36" s="492" t="s">
        <v>348</v>
      </c>
      <c r="B36" s="492"/>
      <c r="C36" s="492"/>
      <c r="D36" s="492"/>
      <c r="E36" s="492"/>
      <c r="F36" s="492"/>
    </row>
    <row r="37" spans="1:6" ht="11.25" customHeight="1">
      <c r="A37" s="234"/>
      <c r="B37" s="234"/>
      <c r="C37" s="234"/>
      <c r="D37" s="234"/>
      <c r="E37" s="234"/>
      <c r="F37" s="234"/>
    </row>
    <row r="38" spans="1:5" ht="12.75">
      <c r="A38" s="235" t="s">
        <v>349</v>
      </c>
      <c r="B38" s="283" t="s">
        <v>350</v>
      </c>
      <c r="C38" s="283"/>
      <c r="D38" s="283"/>
      <c r="E38" s="283"/>
    </row>
    <row r="39" spans="1:5" ht="12.75">
      <c r="A39" s="235" t="s">
        <v>351</v>
      </c>
      <c r="B39" s="283" t="s">
        <v>352</v>
      </c>
      <c r="C39" s="283"/>
      <c r="D39" s="283"/>
      <c r="E39" s="283"/>
    </row>
    <row r="40" ht="15.75">
      <c r="G40" s="90"/>
    </row>
    <row r="41" spans="1:3" ht="12.75">
      <c r="A41" s="86" t="s">
        <v>564</v>
      </c>
      <c r="B41" s="263"/>
      <c r="C41" s="89" t="s">
        <v>565</v>
      </c>
    </row>
    <row r="42" spans="1:3" ht="12.75">
      <c r="A42" s="86" t="s">
        <v>566</v>
      </c>
      <c r="B42" s="239">
        <f>IF(B41="","",((B41-150)*7.2)+4850)</f>
      </c>
      <c r="C42" s="89" t="s">
        <v>553</v>
      </c>
    </row>
    <row r="43" spans="1:3" ht="12.75">
      <c r="A43" s="86" t="s">
        <v>568</v>
      </c>
      <c r="B43" s="415">
        <f>IF(B42="","",B42/43560)</f>
      </c>
      <c r="C43" s="89" t="s">
        <v>59</v>
      </c>
    </row>
  </sheetData>
  <sheetProtection/>
  <mergeCells count="6">
    <mergeCell ref="B14:B15"/>
    <mergeCell ref="A36:F36"/>
    <mergeCell ref="A33:F33"/>
    <mergeCell ref="C31:D31"/>
    <mergeCell ref="E14:F15"/>
    <mergeCell ref="A12:F12"/>
  </mergeCells>
  <printOptions/>
  <pageMargins left="0.5" right="0.5" top="1" bottom="1" header="0.5" footer="0.5"/>
  <pageSetup horizontalDpi="600" verticalDpi="600" orientation="portrait" r:id="rId1"/>
  <headerFooter alignWithMargins="0">
    <oddFooter>&amp;L&amp;8City of Chicago
Dept. of Water Management&amp;C&amp;8Permit Application&amp;R&amp;8&amp;A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B24" sqref="B24"/>
    </sheetView>
  </sheetViews>
  <sheetFormatPr defaultColWidth="9.140625" defaultRowHeight="12.75"/>
  <cols>
    <col min="1" max="1" width="25.421875" style="0" customWidth="1"/>
    <col min="2" max="2" width="21.140625" style="0" customWidth="1"/>
    <col min="3" max="3" width="29.28125" style="0" customWidth="1"/>
    <col min="4" max="4" width="17.140625" style="0" customWidth="1"/>
    <col min="5" max="5" width="17.7109375" style="0" customWidth="1"/>
    <col min="6" max="6" width="21.7109375" style="0" customWidth="1"/>
    <col min="7" max="7" width="19.421875" style="0" customWidth="1"/>
  </cols>
  <sheetData>
    <row r="1" spans="1:7" ht="18">
      <c r="A1" s="131" t="s">
        <v>119</v>
      </c>
      <c r="B1" s="124"/>
      <c r="D1" s="124"/>
      <c r="E1" s="124"/>
      <c r="F1" s="124"/>
      <c r="G1" s="124"/>
    </row>
    <row r="2" spans="1:7" ht="18">
      <c r="A2" s="131" t="s">
        <v>375</v>
      </c>
      <c r="B2" s="124"/>
      <c r="D2" s="124"/>
      <c r="E2" s="124"/>
      <c r="F2" s="124"/>
      <c r="G2" s="124"/>
    </row>
    <row r="3" spans="1:7" ht="12.75" customHeight="1">
      <c r="A3" s="131"/>
      <c r="B3" s="124"/>
      <c r="D3" s="124"/>
      <c r="E3" s="124"/>
      <c r="F3" s="124"/>
      <c r="G3" s="124"/>
    </row>
    <row r="4" spans="1:7" ht="12.75" customHeight="1">
      <c r="A4" t="s">
        <v>123</v>
      </c>
      <c r="B4" s="123">
        <f>IF(COVER!$D$15="","",COVER!$D$15)</f>
      </c>
      <c r="D4" s="124"/>
      <c r="E4" s="124"/>
      <c r="F4" s="124"/>
      <c r="G4" s="124"/>
    </row>
    <row r="5" spans="1:7" ht="12.75" customHeight="1">
      <c r="A5" t="s">
        <v>124</v>
      </c>
      <c r="B5" s="147">
        <f>IF(COVER!$D$18="","",COVER!$D$18)</f>
      </c>
      <c r="D5" s="124"/>
      <c r="E5" s="124"/>
      <c r="F5" s="124"/>
      <c r="G5" s="124"/>
    </row>
    <row r="6" spans="1:7" ht="12.75" customHeight="1">
      <c r="A6" t="s">
        <v>125</v>
      </c>
      <c r="B6" s="147">
        <f>IF(COVER!$F$21="","",COVER!$F$21)</f>
      </c>
      <c r="D6" s="124"/>
      <c r="E6" s="124"/>
      <c r="F6" s="124"/>
      <c r="G6" s="124"/>
    </row>
    <row r="7" ht="20.25">
      <c r="A7" s="1"/>
    </row>
    <row r="8" spans="1:4" ht="18">
      <c r="A8" s="131" t="s">
        <v>272</v>
      </c>
      <c r="B8" s="52"/>
      <c r="D8" s="52"/>
    </row>
    <row r="9" spans="2:4" ht="11.25" customHeight="1">
      <c r="B9" s="131"/>
      <c r="C9" s="52"/>
      <c r="D9" s="52"/>
    </row>
    <row r="10" spans="1:4" ht="12.75">
      <c r="A10" s="52" t="s">
        <v>102</v>
      </c>
      <c r="D10" s="52"/>
    </row>
    <row r="11" spans="1:4" ht="12.75">
      <c r="A11" s="52" t="s">
        <v>105</v>
      </c>
      <c r="D11" s="52"/>
    </row>
    <row r="12" spans="1:4" ht="12.75">
      <c r="A12" s="8" t="s">
        <v>294</v>
      </c>
      <c r="D12" s="52"/>
    </row>
    <row r="13" spans="1:4" ht="12.75">
      <c r="A13" s="8" t="s">
        <v>295</v>
      </c>
      <c r="D13" s="52"/>
    </row>
    <row r="14" spans="1:4" ht="12.75">
      <c r="A14" s="154" t="s">
        <v>360</v>
      </c>
      <c r="D14" s="52"/>
    </row>
    <row r="15" spans="1:4" ht="12.75">
      <c r="A15" s="154" t="s">
        <v>359</v>
      </c>
      <c r="D15" s="52"/>
    </row>
    <row r="16" spans="1:4" ht="12.75">
      <c r="A16" s="8" t="s">
        <v>104</v>
      </c>
      <c r="D16" s="52"/>
    </row>
    <row r="17" spans="1:4" ht="12.75">
      <c r="A17" s="8" t="s">
        <v>103</v>
      </c>
      <c r="D17" s="52"/>
    </row>
    <row r="18" spans="1:4" ht="12.75">
      <c r="A18" s="8"/>
      <c r="D18" s="52"/>
    </row>
    <row r="19" spans="3:4" ht="12.75">
      <c r="C19" s="8"/>
      <c r="D19" s="52"/>
    </row>
    <row r="20" spans="1:2" ht="12.75">
      <c r="A20" s="210"/>
      <c r="B20" s="162"/>
    </row>
    <row r="21" spans="1:7" ht="12.75">
      <c r="A21" s="210"/>
      <c r="B21" s="162"/>
      <c r="C21" s="507" t="s">
        <v>307</v>
      </c>
      <c r="D21" s="508"/>
      <c r="E21" s="508"/>
      <c r="F21" s="508"/>
      <c r="G21" s="509"/>
    </row>
    <row r="22" spans="1:7" ht="12.75" customHeight="1">
      <c r="A22" s="210"/>
      <c r="B22" s="504" t="s">
        <v>296</v>
      </c>
      <c r="C22" s="510" t="s">
        <v>89</v>
      </c>
      <c r="D22" s="512" t="s">
        <v>299</v>
      </c>
      <c r="E22" s="470" t="s">
        <v>97</v>
      </c>
      <c r="F22" s="506" t="s">
        <v>131</v>
      </c>
      <c r="G22" s="506" t="s">
        <v>109</v>
      </c>
    </row>
    <row r="23" spans="1:7" ht="15" customHeight="1">
      <c r="A23" s="210"/>
      <c r="B23" s="504"/>
      <c r="C23" s="511"/>
      <c r="D23" s="512"/>
      <c r="E23" s="469"/>
      <c r="F23" s="506"/>
      <c r="G23" s="506"/>
    </row>
    <row r="24" spans="1:7" ht="25.5" customHeight="1">
      <c r="A24" s="210">
        <f>IF(AND(B44="yes",B24="yes")=TRUE,"BMP can only be counted once, please adjust &gt;&gt;&gt;","")</f>
      </c>
      <c r="B24" s="175"/>
      <c r="C24" s="103" t="s">
        <v>90</v>
      </c>
      <c r="D24" s="242">
        <f>IF(B24="yes",'2.1.1 Bioinfiltration'!E26,0)</f>
        <v>0</v>
      </c>
      <c r="E24" s="242">
        <f>IF(B24="yes",'2.1.1 Bioinfiltration'!E37,0)</f>
        <v>0</v>
      </c>
      <c r="F24" s="51">
        <f>'2.1.1 Bioinfiltration'!E18</f>
        <v>0</v>
      </c>
      <c r="G24" s="51">
        <f>IF(F24&lt;0.5,0,D24*F24/12/3600)</f>
        <v>0</v>
      </c>
    </row>
    <row r="25" spans="1:7" ht="25.5" customHeight="1">
      <c r="A25" s="210">
        <f>IF(AND(B45="yes",B25="yes")=TRUE,"BMP can only be counted once, please adjust &gt;&gt;&gt;","")</f>
      </c>
      <c r="B25" s="175"/>
      <c r="C25" s="103" t="s">
        <v>91</v>
      </c>
      <c r="D25" s="242">
        <f>IF(B25="yes",'2.1.2 Swales'!E26*('2.1.2 Swales'!E28+2*'2.1.2 Swales'!E27)*0.5,0)</f>
        <v>0</v>
      </c>
      <c r="E25" s="242">
        <f>IF(B25="yes",'2.1.2 Swales'!E53,0)</f>
        <v>0</v>
      </c>
      <c r="F25" s="51">
        <f>'2.1.2 Swales'!E20</f>
        <v>0</v>
      </c>
      <c r="G25" s="51">
        <f>IF(F25&lt;0.5,0,D25*F25/12/3600)</f>
        <v>0</v>
      </c>
    </row>
    <row r="26" spans="1:7" ht="25.5" customHeight="1">
      <c r="A26" s="210">
        <f>IF(AND(B46="yes",B26="yes")=TRUE,"BMP can only be counted once, please adjust &gt;&gt;&gt;","")</f>
      </c>
      <c r="B26" s="109" t="s">
        <v>99</v>
      </c>
      <c r="C26" s="103" t="s">
        <v>58</v>
      </c>
      <c r="D26" s="243" t="s">
        <v>99</v>
      </c>
      <c r="E26" s="243" t="s">
        <v>99</v>
      </c>
      <c r="F26" s="243" t="s">
        <v>99</v>
      </c>
      <c r="G26" s="243" t="s">
        <v>99</v>
      </c>
    </row>
    <row r="27" spans="1:7" ht="25.5" customHeight="1">
      <c r="A27" s="210"/>
      <c r="B27" s="175"/>
      <c r="C27" s="103" t="s">
        <v>130</v>
      </c>
      <c r="D27" s="242">
        <f>IF(B27="yes",'2.1.4 Infiltration Vault'!E26,0)</f>
        <v>0</v>
      </c>
      <c r="E27" s="242">
        <f>IF(B27="yes",'2.1.4 Infiltration Vault'!E35,0)</f>
        <v>0</v>
      </c>
      <c r="F27" s="51">
        <f>'2.1.4 Infiltration Vault'!E17</f>
        <v>0</v>
      </c>
      <c r="G27" s="51">
        <f>IF(F27&lt;0.5,0,D27*F27/12/3600)</f>
        <v>0</v>
      </c>
    </row>
    <row r="28" spans="1:7" ht="30" customHeight="1">
      <c r="A28" s="210"/>
      <c r="B28" s="109" t="s">
        <v>99</v>
      </c>
      <c r="C28" s="105" t="s">
        <v>107</v>
      </c>
      <c r="D28" s="243" t="s">
        <v>99</v>
      </c>
      <c r="E28" s="243" t="s">
        <v>99</v>
      </c>
      <c r="F28" s="243" t="s">
        <v>99</v>
      </c>
      <c r="G28" s="243" t="s">
        <v>99</v>
      </c>
    </row>
    <row r="29" spans="1:7" ht="25.5" customHeight="1">
      <c r="A29" s="210">
        <f>IF(AND(B48="yes",B29="yes")=TRUE,"BMP can only be counted once, please adjust &gt;&gt;&gt;","")</f>
      </c>
      <c r="B29" s="175"/>
      <c r="C29" s="106" t="s">
        <v>92</v>
      </c>
      <c r="D29" s="242">
        <f>IF(B29="yes",'2.1.7.1 Roof Runoff Planters'!E25,0)</f>
        <v>0</v>
      </c>
      <c r="E29" s="242">
        <f>IF(B29="yes",'2.1.7.1 Roof Runoff Planters'!E37,0)</f>
        <v>0</v>
      </c>
      <c r="F29" s="51">
        <f>'2.1.7.1 Roof Runoff Planters'!E17</f>
        <v>0</v>
      </c>
      <c r="G29" s="51">
        <f>IF(F29&lt;0.5,0,D29*F29/12/3600)</f>
        <v>0</v>
      </c>
    </row>
    <row r="30" spans="1:7" ht="25.5" customHeight="1">
      <c r="A30" s="210"/>
      <c r="B30" s="175"/>
      <c r="C30" s="106" t="s">
        <v>93</v>
      </c>
      <c r="D30" s="242" t="s">
        <v>99</v>
      </c>
      <c r="E30" s="242">
        <f>IF(B30="yes",'2.1.7.2 Roof Runoff Rain Barrel'!E34,0)</f>
        <v>0</v>
      </c>
      <c r="F30" s="243" t="s">
        <v>99</v>
      </c>
      <c r="G30" s="243" t="s">
        <v>99</v>
      </c>
    </row>
    <row r="31" spans="1:7" ht="25.5" customHeight="1">
      <c r="A31" s="210">
        <f>IF(AND(B49="yes",B31="yes")=TRUE,"BMP can only be counted once, please adjust &gt;&gt;&gt;","")</f>
      </c>
      <c r="B31" s="175"/>
      <c r="C31" s="103" t="s">
        <v>94</v>
      </c>
      <c r="D31" s="242">
        <f>IF(B31="yes",'2.1.6 Permeable Pavement'!E26,0)</f>
        <v>0</v>
      </c>
      <c r="E31" s="242">
        <f>IF(B31="yes",'2.1.6 Permeable Pavement'!E34,0)</f>
        <v>0</v>
      </c>
      <c r="F31" s="51">
        <f>'2.1.6 Permeable Pavement'!E17</f>
        <v>0</v>
      </c>
      <c r="G31" s="51">
        <f>IF(F31&lt;0.5,0,D31*F31/12/3600)</f>
        <v>0</v>
      </c>
    </row>
    <row r="32" spans="1:7" ht="25.5" customHeight="1">
      <c r="A32" s="210"/>
      <c r="B32" s="109" t="s">
        <v>99</v>
      </c>
      <c r="C32" s="107" t="s">
        <v>108</v>
      </c>
      <c r="D32" s="243" t="s">
        <v>99</v>
      </c>
      <c r="E32" s="243" t="s">
        <v>99</v>
      </c>
      <c r="F32" s="243" t="s">
        <v>99</v>
      </c>
      <c r="G32" s="243" t="s">
        <v>99</v>
      </c>
    </row>
    <row r="33" spans="3:7" ht="25.5" customHeight="1">
      <c r="C33" s="108" t="s">
        <v>98</v>
      </c>
      <c r="D33" s="244">
        <f>SUM(D24:D32)</f>
        <v>0</v>
      </c>
      <c r="E33" s="244">
        <f>SUM(E24:E32)</f>
        <v>0</v>
      </c>
      <c r="F33" s="245" t="s">
        <v>101</v>
      </c>
      <c r="G33" s="246">
        <f>SUM(G24:G32)</f>
        <v>0</v>
      </c>
    </row>
    <row r="35" ht="12.75">
      <c r="C35" t="s">
        <v>53</v>
      </c>
    </row>
    <row r="36" spans="3:6" ht="30" customHeight="1">
      <c r="C36" s="503" t="s">
        <v>303</v>
      </c>
      <c r="D36" s="503"/>
      <c r="E36" s="503"/>
      <c r="F36" s="503"/>
    </row>
    <row r="37" spans="3:6" ht="30" customHeight="1">
      <c r="C37" s="502" t="s">
        <v>132</v>
      </c>
      <c r="D37" s="502"/>
      <c r="E37" s="502"/>
      <c r="F37" s="502"/>
    </row>
    <row r="38" spans="3:6" ht="45" customHeight="1">
      <c r="C38" s="502" t="s">
        <v>304</v>
      </c>
      <c r="D38" s="502"/>
      <c r="E38" s="502"/>
      <c r="F38" s="502"/>
    </row>
    <row r="41" spans="3:5" ht="12.75">
      <c r="C41" s="505" t="s">
        <v>306</v>
      </c>
      <c r="D41" s="505"/>
      <c r="E41" s="505"/>
    </row>
    <row r="42" spans="2:5" ht="12.75">
      <c r="B42" s="504" t="s">
        <v>296</v>
      </c>
      <c r="C42" s="505" t="s">
        <v>89</v>
      </c>
      <c r="D42" s="506" t="s">
        <v>96</v>
      </c>
      <c r="E42" s="506" t="s">
        <v>97</v>
      </c>
    </row>
    <row r="43" spans="2:5" ht="12.75">
      <c r="B43" s="504"/>
      <c r="C43" s="505"/>
      <c r="D43" s="506"/>
      <c r="E43" s="506"/>
    </row>
    <row r="44" spans="2:5" ht="12.75">
      <c r="B44" s="175"/>
      <c r="C44" s="103" t="s">
        <v>90</v>
      </c>
      <c r="D44" s="242">
        <f>IF(B44="yes",'2.1.1 Bioinfiltration'!E26,0)</f>
        <v>0</v>
      </c>
      <c r="E44" s="242">
        <f>IF(B44="yes",'2.1.1 Bioinfiltration'!E37,0)</f>
        <v>0</v>
      </c>
    </row>
    <row r="45" spans="2:5" ht="12.75">
      <c r="B45" s="175"/>
      <c r="C45" s="103" t="s">
        <v>91</v>
      </c>
      <c r="D45" s="242">
        <f>IF(B45="yes",'2.1.2 Swales'!E26*('2.1.2 Swales'!E28+2*'2.1.2 Swales'!E27)*0.5,0)</f>
        <v>0</v>
      </c>
      <c r="E45" s="242">
        <f>IF(B45="yes",'2.1.2 Swales'!E53,0)</f>
        <v>0</v>
      </c>
    </row>
    <row r="46" spans="2:5" ht="12.75">
      <c r="B46" s="109" t="s">
        <v>99</v>
      </c>
      <c r="C46" s="103" t="s">
        <v>58</v>
      </c>
      <c r="D46" s="242" t="s">
        <v>99</v>
      </c>
      <c r="E46" s="242" t="s">
        <v>99</v>
      </c>
    </row>
    <row r="47" spans="2:5" ht="28.5">
      <c r="B47" s="109" t="s">
        <v>99</v>
      </c>
      <c r="C47" s="105" t="s">
        <v>107</v>
      </c>
      <c r="D47" s="243" t="s">
        <v>99</v>
      </c>
      <c r="E47" s="243" t="s">
        <v>99</v>
      </c>
    </row>
    <row r="48" spans="2:5" ht="25.5">
      <c r="B48" s="175"/>
      <c r="C48" s="106" t="s">
        <v>92</v>
      </c>
      <c r="D48" s="242">
        <f>IF(B48="yes",'2.1.7.1 Roof Runoff Planters'!E25,0)</f>
        <v>0</v>
      </c>
      <c r="E48" s="242">
        <f>IF(B48="yes",'2.1.7.1 Roof Runoff Planters'!E37,0)</f>
        <v>0</v>
      </c>
    </row>
    <row r="49" spans="2:5" ht="12.75">
      <c r="B49" s="175"/>
      <c r="C49" s="103" t="s">
        <v>94</v>
      </c>
      <c r="D49" s="242">
        <f>IF(B49="yes",'2.1.6 Permeable Pavement'!E26,0)</f>
        <v>0</v>
      </c>
      <c r="E49" s="242">
        <f>IF(B49="yes",'2.1.6 Permeable Pavement'!E34,0)</f>
        <v>0</v>
      </c>
    </row>
    <row r="50" spans="2:5" ht="14.25">
      <c r="B50" s="109" t="s">
        <v>99</v>
      </c>
      <c r="C50" s="107" t="s">
        <v>108</v>
      </c>
      <c r="D50" s="243" t="s">
        <v>99</v>
      </c>
      <c r="E50" s="243" t="s">
        <v>99</v>
      </c>
    </row>
    <row r="51" spans="2:5" ht="12.75">
      <c r="B51" s="162"/>
      <c r="C51" s="108" t="s">
        <v>98</v>
      </c>
      <c r="D51" s="244">
        <f>SUM(D44:D50)</f>
        <v>0</v>
      </c>
      <c r="E51" s="244">
        <f>SUM(E44:E50)</f>
        <v>0</v>
      </c>
    </row>
  </sheetData>
  <sheetProtection/>
  <mergeCells count="15">
    <mergeCell ref="G22:G23"/>
    <mergeCell ref="C21:G21"/>
    <mergeCell ref="C22:C23"/>
    <mergeCell ref="D22:D23"/>
    <mergeCell ref="E22:E23"/>
    <mergeCell ref="B22:B23"/>
    <mergeCell ref="F22:F23"/>
    <mergeCell ref="C37:F37"/>
    <mergeCell ref="C38:F38"/>
    <mergeCell ref="C36:F36"/>
    <mergeCell ref="B42:B43"/>
    <mergeCell ref="C41:E41"/>
    <mergeCell ref="E42:E43"/>
    <mergeCell ref="C42:C43"/>
    <mergeCell ref="D42:D43"/>
  </mergeCells>
  <printOptions/>
  <pageMargins left="0.73" right="0.75" top="0.73" bottom="1" header="0.5" footer="0.5"/>
  <pageSetup fitToHeight="1" fitToWidth="1" horizontalDpi="600" verticalDpi="600" orientation="portrait" scale="60" r:id="rId3"/>
  <headerFooter alignWithMargins="0">
    <oddFooter>&amp;L&amp;8City of Chicago
Dept. of Water Management&amp;C&amp;8Permit Application&amp;R&amp;8&amp;A
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53"/>
  <sheetViews>
    <sheetView showGridLines="0" zoomScalePageLayoutView="0" workbookViewId="0" topLeftCell="A1">
      <selection activeCell="E11" sqref="E11"/>
    </sheetView>
  </sheetViews>
  <sheetFormatPr defaultColWidth="9.140625" defaultRowHeight="12.75"/>
  <cols>
    <col min="1" max="2" width="14.57421875" style="0" customWidth="1"/>
    <col min="3" max="3" width="27.28125" style="0" customWidth="1"/>
    <col min="4" max="4" width="10.00390625" style="0" customWidth="1"/>
    <col min="5" max="5" width="13.8515625" style="0" customWidth="1"/>
    <col min="6" max="6" width="8.421875" style="0" customWidth="1"/>
    <col min="7" max="7" width="5.00390625" style="0" customWidth="1"/>
    <col min="8" max="8" width="18.7109375" style="0" customWidth="1"/>
    <col min="9" max="9" width="4.28125" style="0" customWidth="1"/>
    <col min="10" max="10" width="2.8515625" style="0" customWidth="1"/>
    <col min="11" max="11" width="7.140625" style="0" customWidth="1"/>
  </cols>
  <sheetData>
    <row r="1" spans="1:2" ht="18">
      <c r="A1" s="132" t="s">
        <v>119</v>
      </c>
      <c r="B1" s="132"/>
    </row>
    <row r="2" spans="1:2" ht="18">
      <c r="A2" s="132" t="s">
        <v>375</v>
      </c>
      <c r="B2" s="132"/>
    </row>
    <row r="3" spans="1:2" ht="18">
      <c r="A3" s="132"/>
      <c r="B3" s="132"/>
    </row>
    <row r="4" spans="1:4" ht="12.75">
      <c r="A4" t="s">
        <v>123</v>
      </c>
      <c r="B4" s="123">
        <f>IF(COVER!$D$15="","",COVER!$D$15)</f>
      </c>
      <c r="C4" s="123"/>
      <c r="D4" s="118"/>
    </row>
    <row r="5" spans="1:4" ht="12.75">
      <c r="A5" t="s">
        <v>124</v>
      </c>
      <c r="B5" s="147">
        <f>IF(COVER!$D$18="","",COVER!$D$18)</f>
      </c>
      <c r="C5" s="147"/>
      <c r="D5" s="118"/>
    </row>
    <row r="6" spans="1:4" ht="12.75">
      <c r="A6" t="s">
        <v>125</v>
      </c>
      <c r="B6" s="147">
        <f>IF(COVER!$F$21="","",COVER!$F$21)</f>
      </c>
      <c r="C6" s="147"/>
      <c r="D6" s="118"/>
    </row>
    <row r="8" spans="2:3" ht="18">
      <c r="B8" s="132" t="s">
        <v>548</v>
      </c>
      <c r="C8" s="132"/>
    </row>
    <row r="10" spans="5:9" ht="47.25" customHeight="1">
      <c r="E10" s="380" t="s">
        <v>483</v>
      </c>
      <c r="F10" s="514" t="s">
        <v>85</v>
      </c>
      <c r="G10" s="515"/>
      <c r="H10" s="515"/>
      <c r="I10" s="516"/>
    </row>
    <row r="11" spans="2:9" ht="56.25" customHeight="1">
      <c r="B11" s="30" t="s">
        <v>15</v>
      </c>
      <c r="C11" s="448" t="s">
        <v>484</v>
      </c>
      <c r="D11" s="448"/>
      <c r="E11" s="48"/>
      <c r="F11" s="458">
        <f>IF(E11="","",IF(E11="Yes","Complete Tab 2.1.9 Oversized Detention to reduce the release rate from the detention system.  Then, return here to size the orifice for the reduced release rate.",IF(E11="No","The release rate will be taken from from Tab 1.0 Rate Control.","Answer not recognized.")))</f>
      </c>
      <c r="G11" s="459"/>
      <c r="H11" s="459"/>
      <c r="I11" s="460"/>
    </row>
    <row r="12" spans="2:9" ht="71.25" customHeight="1">
      <c r="B12" s="30" t="s">
        <v>16</v>
      </c>
      <c r="C12" s="448" t="s">
        <v>542</v>
      </c>
      <c r="D12" s="448"/>
      <c r="E12" s="48"/>
      <c r="F12" s="458">
        <f>IF(E12="","",IF(E12="Yes","Complete Tab 3.1 Exceed Rate Control to reduce the release rate from the detention system.  Then, return here to size the orifice for the reduced release rate.",IF(E12="No","The release rate will be taken from from Tab 1.0 Rate Control.","Answer not recognized.")))</f>
      </c>
      <c r="G12" s="459"/>
      <c r="H12" s="459"/>
      <c r="I12" s="460"/>
    </row>
    <row r="14" spans="2:9" ht="12.75">
      <c r="B14" s="517" t="s">
        <v>595</v>
      </c>
      <c r="C14" s="433"/>
      <c r="D14" s="433"/>
      <c r="E14" s="433"/>
      <c r="F14" s="518"/>
      <c r="G14" s="518"/>
      <c r="H14" s="518"/>
      <c r="I14" s="518"/>
    </row>
    <row r="15" spans="2:9" ht="12.75">
      <c r="B15" s="433"/>
      <c r="C15" s="433"/>
      <c r="D15" s="433"/>
      <c r="E15" s="433"/>
      <c r="F15" s="518"/>
      <c r="G15" s="518"/>
      <c r="H15" s="518"/>
      <c r="I15" s="518"/>
    </row>
    <row r="16" spans="2:9" ht="28.5" customHeight="1">
      <c r="B16" s="433"/>
      <c r="C16" s="433"/>
      <c r="D16" s="433"/>
      <c r="E16" s="433"/>
      <c r="F16" s="518"/>
      <c r="G16" s="518"/>
      <c r="H16" s="518"/>
      <c r="I16" s="518"/>
    </row>
    <row r="17" ht="12.75">
      <c r="A17" s="411" t="s">
        <v>547</v>
      </c>
    </row>
    <row r="18" ht="12.75">
      <c r="A18" s="411"/>
    </row>
    <row r="19" spans="2:6" ht="15.75" customHeight="1">
      <c r="B19" s="410" t="s">
        <v>543</v>
      </c>
      <c r="C19" s="409"/>
      <c r="D19" s="324" t="s">
        <v>421</v>
      </c>
      <c r="E19" s="376">
        <f>'1.0 RATE CONTROL'!G72-'1.0 RATE CONTROL'!C65</f>
        <v>0</v>
      </c>
      <c r="F19" s="103" t="s">
        <v>59</v>
      </c>
    </row>
    <row r="20" spans="2:6" ht="15.75" customHeight="1">
      <c r="B20" s="410" t="s">
        <v>544</v>
      </c>
      <c r="C20" s="409"/>
      <c r="D20" s="295" t="s">
        <v>421</v>
      </c>
      <c r="E20" s="376">
        <f>IF(E11="Yes",'2.1.9 Oversized Detention'!D18,"")</f>
      </c>
      <c r="F20" s="103" t="s">
        <v>59</v>
      </c>
    </row>
    <row r="21" spans="2:6" ht="15.75" customHeight="1">
      <c r="B21" s="410" t="s">
        <v>545</v>
      </c>
      <c r="C21" s="409"/>
      <c r="D21" s="295" t="s">
        <v>421</v>
      </c>
      <c r="E21" s="376">
        <f>IF(E12="Yes",'3.1 Exceed Rate Control'!D18,"")</f>
      </c>
      <c r="F21" s="103" t="s">
        <v>59</v>
      </c>
    </row>
    <row r="22" spans="2:6" ht="15.75" customHeight="1">
      <c r="B22" s="410" t="s">
        <v>546</v>
      </c>
      <c r="C22" s="409"/>
      <c r="D22" s="295" t="s">
        <v>421</v>
      </c>
      <c r="E22" s="376">
        <f>MIN(E19:E21)</f>
        <v>0</v>
      </c>
      <c r="F22" s="103" t="s">
        <v>59</v>
      </c>
    </row>
    <row r="23" spans="2:6" ht="15.75" customHeight="1">
      <c r="B23" s="125"/>
      <c r="C23" s="118"/>
      <c r="D23" s="125"/>
      <c r="E23" s="408"/>
      <c r="F23" s="6"/>
    </row>
    <row r="24" ht="12.75">
      <c r="A24" s="411" t="s">
        <v>573</v>
      </c>
    </row>
    <row r="26" spans="2:6" ht="15.75" customHeight="1">
      <c r="B26" s="294" t="s">
        <v>572</v>
      </c>
      <c r="C26" s="409"/>
      <c r="D26" s="324" t="s">
        <v>424</v>
      </c>
      <c r="E26" s="300">
        <v>20</v>
      </c>
      <c r="F26" s="103" t="s">
        <v>150</v>
      </c>
    </row>
    <row r="27" spans="2:6" ht="15.75" customHeight="1">
      <c r="B27" s="294" t="s">
        <v>570</v>
      </c>
      <c r="C27" s="409"/>
      <c r="D27" s="324"/>
      <c r="E27" s="300">
        <v>16</v>
      </c>
      <c r="F27" s="103" t="s">
        <v>150</v>
      </c>
    </row>
    <row r="28" spans="2:6" ht="15.75" customHeight="1">
      <c r="B28" s="294" t="s">
        <v>426</v>
      </c>
      <c r="C28" s="409"/>
      <c r="D28" s="324" t="s">
        <v>425</v>
      </c>
      <c r="E28" s="253">
        <f>E26-E27</f>
        <v>4</v>
      </c>
      <c r="F28" s="103" t="s">
        <v>150</v>
      </c>
    </row>
    <row r="30" ht="12.75">
      <c r="A30" s="411" t="s">
        <v>549</v>
      </c>
    </row>
    <row r="31" ht="12.75">
      <c r="A31" s="411"/>
    </row>
    <row r="32" spans="1:2" ht="12.75">
      <c r="A32" s="411"/>
      <c r="B32" s="8" t="s">
        <v>569</v>
      </c>
    </row>
    <row r="33" ht="6.75" customHeight="1">
      <c r="A33" s="411"/>
    </row>
    <row r="34" spans="2:5" ht="12" customHeight="1">
      <c r="B34" t="s">
        <v>414</v>
      </c>
      <c r="C34" s="293" t="s">
        <v>415</v>
      </c>
      <c r="E34" s="293"/>
    </row>
    <row r="35" spans="3:5" ht="6.75" customHeight="1">
      <c r="C35" s="293"/>
      <c r="E35" s="293"/>
    </row>
    <row r="36" spans="2:3" ht="15.75">
      <c r="B36" t="s">
        <v>416</v>
      </c>
      <c r="C36" t="s">
        <v>417</v>
      </c>
    </row>
    <row r="37" ht="15.75">
      <c r="C37" t="s">
        <v>418</v>
      </c>
    </row>
    <row r="39" spans="2:6" ht="15.75" customHeight="1">
      <c r="B39" s="294" t="s">
        <v>420</v>
      </c>
      <c r="C39" s="409"/>
      <c r="D39" s="147"/>
      <c r="E39" s="374" t="s">
        <v>419</v>
      </c>
      <c r="F39" s="373"/>
    </row>
    <row r="40" spans="2:6" ht="15.75" customHeight="1">
      <c r="B40" s="294" t="s">
        <v>422</v>
      </c>
      <c r="C40" s="409"/>
      <c r="D40" s="324" t="s">
        <v>421</v>
      </c>
      <c r="E40" s="376">
        <f>E22</f>
        <v>0</v>
      </c>
      <c r="F40" s="103" t="s">
        <v>59</v>
      </c>
    </row>
    <row r="41" spans="2:6" ht="15.75" customHeight="1">
      <c r="B41" s="294" t="s">
        <v>468</v>
      </c>
      <c r="C41" s="409"/>
      <c r="D41" s="417" t="s">
        <v>423</v>
      </c>
      <c r="E41" s="300">
        <v>0.61</v>
      </c>
      <c r="F41" s="103" t="s">
        <v>143</v>
      </c>
    </row>
    <row r="42" spans="2:6" ht="15.75" customHeight="1">
      <c r="B42" s="294" t="s">
        <v>426</v>
      </c>
      <c r="C42" s="409"/>
      <c r="D42" s="324" t="s">
        <v>425</v>
      </c>
      <c r="E42" s="253">
        <f>IF(E28="","",E28)</f>
        <v>4</v>
      </c>
      <c r="F42" s="103" t="s">
        <v>150</v>
      </c>
    </row>
    <row r="43" spans="2:6" ht="15.75" customHeight="1">
      <c r="B43" s="125"/>
      <c r="C43" s="118"/>
      <c r="D43" s="118"/>
      <c r="E43" s="125"/>
      <c r="F43" s="6"/>
    </row>
    <row r="44" spans="2:6" ht="15.75" customHeight="1">
      <c r="B44" s="294" t="s">
        <v>571</v>
      </c>
      <c r="C44" s="409"/>
      <c r="D44" s="324" t="s">
        <v>427</v>
      </c>
      <c r="E44" s="253">
        <f>IF(E40="","",IF(E40=0,"",IF(E41="","",IF(E42&lt;=0,"",(((4*E40)/(E41*PI()*(2*32.2*E42)^(1/2)))^(1/2)*12)))))</f>
      </c>
      <c r="F44" s="103" t="s">
        <v>168</v>
      </c>
    </row>
    <row r="45" ht="16.5" customHeight="1">
      <c r="B45" s="377">
        <f>IF(E42&lt;0,"Calculated head is negative. Check HWL and invert elevations.",IF(E44&lt;2.5,"Minimum orifice size is 2.5 inches.  Continue below to specify a vortex restrictor.",""))</f>
      </c>
    </row>
    <row r="47" ht="12.75">
      <c r="A47" s="411" t="s">
        <v>550</v>
      </c>
    </row>
    <row r="49" spans="2:6" ht="15.75" customHeight="1">
      <c r="B49" s="294" t="s">
        <v>426</v>
      </c>
      <c r="C49" s="409"/>
      <c r="D49" s="324" t="s">
        <v>425</v>
      </c>
      <c r="E49" s="253">
        <f>IF(E28="","",E28)</f>
        <v>4</v>
      </c>
      <c r="F49" s="103" t="s">
        <v>150</v>
      </c>
    </row>
    <row r="50" spans="2:6" ht="16.5" customHeight="1">
      <c r="B50" s="410" t="s">
        <v>551</v>
      </c>
      <c r="C50" s="409"/>
      <c r="D50" s="295" t="s">
        <v>421</v>
      </c>
      <c r="E50" s="376">
        <f>IF(B45="","",E22)</f>
      </c>
      <c r="F50" s="103" t="s">
        <v>59</v>
      </c>
    </row>
    <row r="51" ht="18" customHeight="1">
      <c r="B51" s="377">
        <f>IF(B45="","",IF(E50&gt;0.1249,IF(E50&lt;0.2,"Specify City of Chicago Standard 3-inch vortex restrictor.","Specify custom vortex restrictor."),"Specify custom vortex restrictor."))</f>
      </c>
    </row>
    <row r="52" spans="2:6" ht="38.25" customHeight="1">
      <c r="B52" s="513">
        <f>IF(B51="Specify custom vortex restrictor.","See Regulations, Appendix II-F, for Approved Vendor List for Custom Vortex Restrictors.  Minimum interior opening is 2.5 inches. ","")</f>
      </c>
      <c r="C52" s="494"/>
      <c r="D52" s="494"/>
      <c r="E52" s="494"/>
      <c r="F52" s="494"/>
    </row>
    <row r="53" spans="2:6" ht="60.75" customHeight="1">
      <c r="B53" s="513">
        <f>IF(B52="","","Provide the vendor the calculated head and release rate.  Include the rating curve of the selected custom vortex restrictor in the calculations.  Add custom detail to plans, and clearly specify make, model and size of custom vortex restrictor. ")</f>
      </c>
      <c r="C53" s="494"/>
      <c r="D53" s="494"/>
      <c r="E53" s="494"/>
      <c r="F53" s="494"/>
    </row>
  </sheetData>
  <sheetProtection/>
  <mergeCells count="8">
    <mergeCell ref="B53:F53"/>
    <mergeCell ref="B52:F52"/>
    <mergeCell ref="C12:D12"/>
    <mergeCell ref="F12:I12"/>
    <mergeCell ref="F10:I10"/>
    <mergeCell ref="C11:D11"/>
    <mergeCell ref="F11:I11"/>
    <mergeCell ref="B14:I16"/>
  </mergeCells>
  <conditionalFormatting sqref="E44">
    <cfRule type="cellIs" priority="1" dxfId="8" operator="lessThan" stopIfTrue="1">
      <formula>2.495</formula>
    </cfRule>
  </conditionalFormatting>
  <printOptions horizontalCentered="1"/>
  <pageMargins left="0.75" right="0.75" top="1" bottom="1" header="0.5" footer="0.5"/>
  <pageSetup fitToHeight="1" fitToWidth="1" horizontalDpi="600" verticalDpi="600" orientation="portrait" scale="70" r:id="rId1"/>
  <headerFooter alignWithMargins="0">
    <oddFooter>&amp;L&amp;8City of Chicago
Dept. of Water Management&amp;C&amp;8Permit Application&amp;R&amp;8&amp;A
Page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50"/>
  <sheetViews>
    <sheetView showGridLines="0" zoomScalePageLayoutView="0" workbookViewId="0" topLeftCell="A1">
      <selection activeCell="D13" sqref="D13"/>
    </sheetView>
  </sheetViews>
  <sheetFormatPr defaultColWidth="9.140625" defaultRowHeight="12.75"/>
  <cols>
    <col min="1" max="1" width="17.28125" style="0" customWidth="1"/>
    <col min="2" max="2" width="38.00390625" style="0" customWidth="1"/>
    <col min="3" max="3" width="35.28125" style="0" customWidth="1"/>
    <col min="4" max="4" width="17.57421875" style="0" customWidth="1"/>
    <col min="5" max="5" width="17.00390625" style="0" customWidth="1"/>
    <col min="6" max="6" width="17.7109375" style="0" customWidth="1"/>
    <col min="7" max="7" width="17.421875" style="0" customWidth="1"/>
    <col min="8" max="8" width="29.8515625" style="0" bestFit="1" customWidth="1"/>
    <col min="9" max="9" width="29.5742187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24"/>
      <c r="D4" s="124"/>
      <c r="E4" s="124"/>
      <c r="F4" s="124"/>
      <c r="G4" s="124"/>
      <c r="H4" s="124"/>
    </row>
    <row r="5" spans="1:8" ht="12.75" customHeight="1">
      <c r="A5" t="s">
        <v>124</v>
      </c>
      <c r="B5" s="147">
        <f>IF(COVER!$D$18="","",COVER!$D$18)</f>
      </c>
      <c r="C5" s="124"/>
      <c r="D5" s="124"/>
      <c r="E5" s="124"/>
      <c r="F5" s="124"/>
      <c r="G5" s="124"/>
      <c r="H5" s="124"/>
    </row>
    <row r="6" spans="1:8" ht="12.75" customHeight="1">
      <c r="A6" t="s">
        <v>125</v>
      </c>
      <c r="B6" s="147">
        <f>IF(COVER!$F$21="","",COVER!$F$21)</f>
      </c>
      <c r="C6" s="124"/>
      <c r="D6" s="124"/>
      <c r="E6" s="124"/>
      <c r="F6" s="124"/>
      <c r="G6" s="124"/>
      <c r="H6" s="124"/>
    </row>
    <row r="7" ht="12.75" customHeight="1"/>
    <row r="8" ht="18">
      <c r="A8" s="132" t="s">
        <v>287</v>
      </c>
    </row>
    <row r="9" spans="1:13" ht="12.75">
      <c r="A9" s="3"/>
      <c r="B9" s="6"/>
      <c r="C9" s="3"/>
      <c r="D9" s="3"/>
      <c r="E9" s="3"/>
      <c r="F9" s="5"/>
      <c r="G9" s="74"/>
      <c r="H9" s="74"/>
      <c r="I9" s="35"/>
      <c r="J9" s="35"/>
      <c r="K9" s="35"/>
      <c r="L9" s="35"/>
      <c r="M9" s="35"/>
    </row>
    <row r="10" spans="1:13" ht="12.75">
      <c r="A10" s="7"/>
      <c r="B10" s="8"/>
      <c r="C10" s="7"/>
      <c r="D10" s="7"/>
      <c r="E10" s="7"/>
      <c r="F10" s="7"/>
      <c r="G10" s="74"/>
      <c r="H10" s="74"/>
      <c r="I10" s="35"/>
      <c r="J10" s="35"/>
      <c r="K10" s="35"/>
      <c r="L10" s="35"/>
      <c r="M10" s="35"/>
    </row>
    <row r="11" spans="1:13" ht="12.75">
      <c r="A11" s="27" t="s">
        <v>11</v>
      </c>
      <c r="B11" s="4" t="s">
        <v>0</v>
      </c>
      <c r="C11" s="7"/>
      <c r="D11" s="521" t="s">
        <v>128</v>
      </c>
      <c r="E11" s="521" t="s">
        <v>129</v>
      </c>
      <c r="F11" s="522"/>
      <c r="G11" s="97"/>
      <c r="H11" s="98"/>
      <c r="I11" s="60"/>
      <c r="J11" s="60"/>
      <c r="K11" s="60"/>
      <c r="L11" s="60"/>
      <c r="M11" s="60"/>
    </row>
    <row r="12" spans="1:13" ht="12.75">
      <c r="A12" s="7"/>
      <c r="B12" s="7"/>
      <c r="C12" s="7"/>
      <c r="D12" s="521"/>
      <c r="E12" s="521"/>
      <c r="F12" s="522"/>
      <c r="G12" s="99"/>
      <c r="H12" s="98"/>
      <c r="I12" s="98"/>
      <c r="J12" s="60"/>
      <c r="K12" s="60"/>
      <c r="L12" s="60"/>
      <c r="M12" s="60"/>
    </row>
    <row r="13" spans="1:13" ht="12.75">
      <c r="A13" s="7"/>
      <c r="B13" s="523" t="s">
        <v>111</v>
      </c>
      <c r="C13" s="9" t="s">
        <v>113</v>
      </c>
      <c r="D13" s="44"/>
      <c r="E13" s="44"/>
      <c r="F13" s="19"/>
      <c r="G13" s="100"/>
      <c r="H13" s="98"/>
      <c r="I13" s="6"/>
      <c r="J13" s="60"/>
      <c r="K13" s="60"/>
      <c r="L13" s="60"/>
      <c r="M13" s="60"/>
    </row>
    <row r="14" spans="1:13" ht="12.75">
      <c r="A14" s="7"/>
      <c r="B14" s="524"/>
      <c r="C14" s="9" t="s">
        <v>114</v>
      </c>
      <c r="D14" s="44"/>
      <c r="E14" s="44"/>
      <c r="F14" s="19"/>
      <c r="G14" s="100"/>
      <c r="H14" s="98"/>
      <c r="I14" s="6"/>
      <c r="J14" s="60"/>
      <c r="K14" s="60"/>
      <c r="L14" s="60"/>
      <c r="M14" s="60"/>
    </row>
    <row r="15" spans="1:13" ht="12.75">
      <c r="A15" s="7"/>
      <c r="B15" s="524"/>
      <c r="C15" s="9" t="s">
        <v>70</v>
      </c>
      <c r="D15" s="44"/>
      <c r="E15" s="44"/>
      <c r="F15" s="19"/>
      <c r="G15" s="100"/>
      <c r="H15" s="98"/>
      <c r="I15" s="6"/>
      <c r="J15" s="60"/>
      <c r="K15" s="60"/>
      <c r="L15" s="60"/>
      <c r="M15" s="60"/>
    </row>
    <row r="16" spans="1:13" ht="12.75">
      <c r="A16" s="7"/>
      <c r="B16" s="525"/>
      <c r="C16" s="9" t="s">
        <v>2</v>
      </c>
      <c r="D16" s="44"/>
      <c r="E16" s="44"/>
      <c r="F16" s="19"/>
      <c r="G16" s="100"/>
      <c r="H16" s="98"/>
      <c r="I16" s="114"/>
      <c r="J16" s="60"/>
      <c r="K16" s="60"/>
      <c r="L16" s="60"/>
      <c r="M16" s="60"/>
    </row>
    <row r="17" spans="1:13" ht="12.75">
      <c r="A17" s="7"/>
      <c r="B17" s="519" t="s">
        <v>4</v>
      </c>
      <c r="C17" s="9" t="s">
        <v>3</v>
      </c>
      <c r="D17" s="44"/>
      <c r="E17" s="44"/>
      <c r="F17" s="19"/>
      <c r="G17" s="100"/>
      <c r="H17" s="98"/>
      <c r="I17" s="114"/>
      <c r="J17" s="60"/>
      <c r="K17" s="60"/>
      <c r="L17" s="60"/>
      <c r="M17" s="60"/>
    </row>
    <row r="18" spans="1:13" ht="12.75">
      <c r="A18" s="7"/>
      <c r="B18" s="520"/>
      <c r="C18" s="9" t="s">
        <v>86</v>
      </c>
      <c r="D18" s="44"/>
      <c r="E18" s="44"/>
      <c r="F18" s="19"/>
      <c r="G18" s="100"/>
      <c r="H18" s="98"/>
      <c r="I18" s="6"/>
      <c r="J18" s="60"/>
      <c r="K18" s="60"/>
      <c r="L18" s="60"/>
      <c r="M18" s="60"/>
    </row>
    <row r="19" spans="1:13" ht="12.75">
      <c r="A19" s="7"/>
      <c r="B19" s="520"/>
      <c r="C19" s="9" t="s">
        <v>87</v>
      </c>
      <c r="D19" s="44"/>
      <c r="E19" s="44"/>
      <c r="F19" s="19"/>
      <c r="G19" s="100"/>
      <c r="H19" s="98"/>
      <c r="I19" s="118"/>
      <c r="J19" s="60"/>
      <c r="K19" s="60"/>
      <c r="L19" s="60"/>
      <c r="M19" s="60"/>
    </row>
    <row r="20" spans="1:13" ht="25.5">
      <c r="A20" s="7"/>
      <c r="B20" s="520"/>
      <c r="C20" s="32" t="s">
        <v>330</v>
      </c>
      <c r="D20" s="44"/>
      <c r="E20" s="44"/>
      <c r="F20" s="19"/>
      <c r="G20" s="100"/>
      <c r="H20" s="98"/>
      <c r="I20" s="60"/>
      <c r="J20" s="60"/>
      <c r="K20" s="60"/>
      <c r="L20" s="60"/>
      <c r="M20" s="60"/>
    </row>
    <row r="21" spans="1:13" ht="12.75">
      <c r="A21" s="7"/>
      <c r="B21" s="526" t="s">
        <v>112</v>
      </c>
      <c r="C21" s="103" t="s">
        <v>58</v>
      </c>
      <c r="D21" s="116" t="s">
        <v>101</v>
      </c>
      <c r="E21" s="44"/>
      <c r="F21" s="19"/>
      <c r="G21" s="100"/>
      <c r="H21" s="98"/>
      <c r="I21" s="60"/>
      <c r="J21" s="60"/>
      <c r="K21" s="60"/>
      <c r="L21" s="60"/>
      <c r="M21" s="60"/>
    </row>
    <row r="22" spans="1:13" ht="12.75">
      <c r="A22" s="7"/>
      <c r="B22" s="526"/>
      <c r="C22" s="117" t="s">
        <v>498</v>
      </c>
      <c r="D22" s="116" t="s">
        <v>101</v>
      </c>
      <c r="E22" s="44"/>
      <c r="F22" s="19"/>
      <c r="G22" s="100"/>
      <c r="H22" s="98"/>
      <c r="I22" s="60"/>
      <c r="J22" s="60"/>
      <c r="K22" s="60"/>
      <c r="L22" s="60"/>
      <c r="M22" s="60"/>
    </row>
    <row r="23" spans="1:13" ht="12.75">
      <c r="A23" s="7"/>
      <c r="B23" s="526"/>
      <c r="C23" s="117" t="s">
        <v>325</v>
      </c>
      <c r="D23" s="116" t="s">
        <v>101</v>
      </c>
      <c r="E23" s="44"/>
      <c r="F23" s="19"/>
      <c r="G23" s="100"/>
      <c r="H23" s="98"/>
      <c r="I23" s="60"/>
      <c r="J23" s="60"/>
      <c r="K23" s="60"/>
      <c r="L23" s="60"/>
      <c r="M23" s="60"/>
    </row>
    <row r="24" spans="1:13" ht="12.75">
      <c r="A24" s="7"/>
      <c r="B24" s="526"/>
      <c r="C24" s="117" t="s">
        <v>326</v>
      </c>
      <c r="D24" s="116" t="s">
        <v>101</v>
      </c>
      <c r="E24" s="44"/>
      <c r="F24" s="19"/>
      <c r="G24" s="100"/>
      <c r="H24" s="98"/>
      <c r="I24" s="60"/>
      <c r="J24" s="60"/>
      <c r="K24" s="60"/>
      <c r="L24" s="60"/>
      <c r="M24" s="60"/>
    </row>
    <row r="25" spans="1:13" ht="12.75">
      <c r="A25" s="7"/>
      <c r="B25" s="526"/>
      <c r="C25" s="117" t="s">
        <v>327</v>
      </c>
      <c r="D25" s="116" t="s">
        <v>101</v>
      </c>
      <c r="E25" s="44"/>
      <c r="F25" s="19"/>
      <c r="G25" s="100"/>
      <c r="H25" s="98"/>
      <c r="I25" s="60"/>
      <c r="J25" s="60"/>
      <c r="K25" s="60"/>
      <c r="L25" s="60"/>
      <c r="M25" s="60"/>
    </row>
    <row r="26" spans="1:13" ht="12.75">
      <c r="A26" s="7"/>
      <c r="B26" s="526"/>
      <c r="C26" s="9" t="s">
        <v>328</v>
      </c>
      <c r="D26" s="116" t="s">
        <v>101</v>
      </c>
      <c r="E26" s="44"/>
      <c r="F26" s="19"/>
      <c r="G26" s="100"/>
      <c r="H26" s="98"/>
      <c r="I26" s="60"/>
      <c r="J26" s="60"/>
      <c r="K26" s="60"/>
      <c r="L26" s="60"/>
      <c r="M26" s="60"/>
    </row>
    <row r="27" spans="1:13" ht="12.75">
      <c r="A27" s="7"/>
      <c r="B27" s="526"/>
      <c r="C27" s="117" t="s">
        <v>329</v>
      </c>
      <c r="D27" s="116" t="s">
        <v>101</v>
      </c>
      <c r="E27" s="44"/>
      <c r="F27" s="19"/>
      <c r="G27" s="100"/>
      <c r="H27" s="98"/>
      <c r="I27" s="60"/>
      <c r="J27" s="60"/>
      <c r="K27" s="60"/>
      <c r="L27" s="60"/>
      <c r="M27" s="60"/>
    </row>
    <row r="28" spans="1:13" ht="12.75">
      <c r="A28" s="7"/>
      <c r="B28" s="526"/>
      <c r="C28" s="9" t="s">
        <v>331</v>
      </c>
      <c r="D28" s="116" t="s">
        <v>101</v>
      </c>
      <c r="E28" s="44"/>
      <c r="F28" s="19"/>
      <c r="G28" s="100"/>
      <c r="H28" s="98"/>
      <c r="I28" s="60"/>
      <c r="J28" s="60"/>
      <c r="K28" s="60"/>
      <c r="L28" s="60"/>
      <c r="M28" s="60"/>
    </row>
    <row r="29" spans="1:13" ht="12.75">
      <c r="A29" s="7"/>
      <c r="B29" s="10"/>
      <c r="C29" s="11"/>
      <c r="D29" s="7"/>
      <c r="E29" s="11"/>
      <c r="F29" s="7"/>
      <c r="G29" s="101"/>
      <c r="H29" s="101"/>
      <c r="I29" s="60"/>
      <c r="J29" s="60"/>
      <c r="K29" s="60"/>
      <c r="L29" s="60"/>
      <c r="M29" s="60"/>
    </row>
    <row r="30" spans="1:13" ht="12.75">
      <c r="A30" s="7"/>
      <c r="B30" s="449" t="s">
        <v>10</v>
      </c>
      <c r="C30" s="12" t="s">
        <v>7</v>
      </c>
      <c r="D30" s="239">
        <f>SUM(D13:D16)</f>
        <v>0</v>
      </c>
      <c r="E30" s="239">
        <f>SUM(E13:E16)</f>
        <v>0</v>
      </c>
      <c r="F30" s="8"/>
      <c r="G30" s="60"/>
      <c r="H30" s="57"/>
      <c r="I30" s="60"/>
      <c r="J30" s="60"/>
      <c r="K30" s="60"/>
      <c r="L30" s="60"/>
      <c r="M30" s="60"/>
    </row>
    <row r="31" spans="1:13" ht="12.75">
      <c r="A31" s="7"/>
      <c r="B31" s="450"/>
      <c r="C31" s="12" t="s">
        <v>8</v>
      </c>
      <c r="D31" s="239">
        <f>SUM(D17:D20)</f>
        <v>0</v>
      </c>
      <c r="E31" s="239">
        <f>SUM(E17:E20)</f>
        <v>0</v>
      </c>
      <c r="F31" s="8"/>
      <c r="G31" s="60"/>
      <c r="H31" s="57"/>
      <c r="I31" s="60"/>
      <c r="J31" s="60"/>
      <c r="K31" s="60"/>
      <c r="L31" s="60"/>
      <c r="M31" s="60"/>
    </row>
    <row r="32" spans="1:13" ht="25.5" customHeight="1">
      <c r="A32" s="7"/>
      <c r="B32" s="450"/>
      <c r="C32" s="104" t="s">
        <v>308</v>
      </c>
      <c r="D32" s="116" t="s">
        <v>101</v>
      </c>
      <c r="E32" s="239">
        <f>IF(C42="no",E22,0)</f>
        <v>0</v>
      </c>
      <c r="F32" s="8">
        <f>IF(E22&lt;&gt;0,"Please be sure to answer Question 3 below","")</f>
      </c>
      <c r="G32" s="60"/>
      <c r="H32" s="57"/>
      <c r="I32" s="60"/>
      <c r="J32" s="60"/>
      <c r="K32" s="60"/>
      <c r="L32" s="60"/>
      <c r="M32" s="60"/>
    </row>
    <row r="33" spans="1:13" ht="25.5">
      <c r="A33" s="7"/>
      <c r="B33" s="450"/>
      <c r="C33" s="104" t="s">
        <v>309</v>
      </c>
      <c r="D33" s="116" t="s">
        <v>101</v>
      </c>
      <c r="E33" s="239">
        <f>IF(C42="yes",SUM(E21:E28),E21+SUM(E23:E28))</f>
        <v>0</v>
      </c>
      <c r="F33" s="8">
        <f>IF(E22&lt;&gt;0,"Please be sure to answer Question 3 below","")</f>
      </c>
      <c r="G33" s="60"/>
      <c r="H33" s="57"/>
      <c r="I33" s="60"/>
      <c r="J33" s="60"/>
      <c r="K33" s="60"/>
      <c r="L33" s="60"/>
      <c r="M33" s="60"/>
    </row>
    <row r="34" spans="1:13" ht="12.75">
      <c r="A34" s="7"/>
      <c r="B34" s="450"/>
      <c r="C34" s="12" t="s">
        <v>9</v>
      </c>
      <c r="D34" s="239">
        <f>SUM(D30:D33)</f>
        <v>0</v>
      </c>
      <c r="E34" s="239">
        <f>SUM(E30:E33)</f>
        <v>0</v>
      </c>
      <c r="F34" s="377" t="str">
        <f>IF(E34&lt;&gt;D34,"ERROR: Existing and Proposed areas are not equal."," ")</f>
        <v> </v>
      </c>
      <c r="G34" s="60"/>
      <c r="H34" s="57"/>
      <c r="I34" s="60"/>
      <c r="J34" s="60"/>
      <c r="K34" s="60"/>
      <c r="L34" s="60"/>
      <c r="M34" s="60"/>
    </row>
    <row r="35" spans="1:13" ht="12.75">
      <c r="A35" s="7"/>
      <c r="B35" s="451"/>
      <c r="C35" s="12" t="s">
        <v>5</v>
      </c>
      <c r="D35" s="248">
        <f>IF(D31=0,0,D31/D34*100)</f>
        <v>0</v>
      </c>
      <c r="E35" s="248">
        <f>IF(E31=0,0,(E31+E32)/(E34)*100)</f>
        <v>0</v>
      </c>
      <c r="G35" s="60"/>
      <c r="H35" s="57"/>
      <c r="I35" s="60"/>
      <c r="J35" s="60"/>
      <c r="K35" s="60"/>
      <c r="L35" s="60"/>
      <c r="M35" s="60"/>
    </row>
    <row r="36" spans="1:13" ht="12.75">
      <c r="A36" s="7"/>
      <c r="B36" s="6"/>
      <c r="C36" s="11"/>
      <c r="D36" s="24"/>
      <c r="E36" s="24"/>
      <c r="F36" s="119"/>
      <c r="G36" s="60"/>
      <c r="H36" s="57"/>
      <c r="I36" s="60"/>
      <c r="J36" s="60"/>
      <c r="K36" s="60"/>
      <c r="L36" s="60"/>
      <c r="M36" s="60"/>
    </row>
    <row r="37" spans="1:13" ht="12.75">
      <c r="A37" s="27" t="s">
        <v>12</v>
      </c>
      <c r="B37" s="26" t="s">
        <v>115</v>
      </c>
      <c r="E37" s="11"/>
      <c r="F37" s="11"/>
      <c r="G37" s="58"/>
      <c r="H37" s="58"/>
      <c r="I37" s="98"/>
      <c r="J37" s="60"/>
      <c r="K37" s="60"/>
      <c r="L37" s="60"/>
      <c r="M37" s="60"/>
    </row>
    <row r="38" spans="3:13" ht="12.75">
      <c r="C38" s="453" t="s">
        <v>71</v>
      </c>
      <c r="D38" s="527" t="s">
        <v>27</v>
      </c>
      <c r="E38" s="527"/>
      <c r="F38" s="527"/>
      <c r="G38" s="143"/>
      <c r="H38" s="58"/>
      <c r="I38" s="98"/>
      <c r="J38" s="60"/>
      <c r="K38" s="60"/>
      <c r="L38" s="60"/>
      <c r="M38" s="60"/>
    </row>
    <row r="39" spans="1:13" ht="12.75">
      <c r="A39" s="11"/>
      <c r="B39" s="21"/>
      <c r="C39" s="454"/>
      <c r="D39" s="527"/>
      <c r="E39" s="527"/>
      <c r="F39" s="527"/>
      <c r="G39" s="143"/>
      <c r="H39" s="58"/>
      <c r="I39" s="98"/>
      <c r="J39" s="60"/>
      <c r="K39" s="60"/>
      <c r="L39" s="60"/>
      <c r="M39" s="60"/>
    </row>
    <row r="40" spans="1:13" ht="60" customHeight="1">
      <c r="A40" s="30" t="s">
        <v>15</v>
      </c>
      <c r="B40" s="47" t="s">
        <v>24</v>
      </c>
      <c r="C40" s="48"/>
      <c r="D40" s="528" t="str">
        <f>IF(C40="yes","Roof area can be directed to Waters and not included in volume control calculations, delete roof from table above and make note to that effect.  Volume control measures must be employed for the remainder of the site"," ")</f>
        <v> </v>
      </c>
      <c r="E40" s="528"/>
      <c r="F40" s="528"/>
      <c r="G40" s="144"/>
      <c r="H40" s="58"/>
      <c r="I40" s="98"/>
      <c r="J40" s="60"/>
      <c r="K40" s="60"/>
      <c r="L40" s="60"/>
      <c r="M40" s="60"/>
    </row>
    <row r="41" spans="1:13" ht="43.5" customHeight="1">
      <c r="A41" s="30" t="s">
        <v>16</v>
      </c>
      <c r="B41" s="159" t="s">
        <v>487</v>
      </c>
      <c r="C41" s="48"/>
      <c r="D41" s="528" t="str">
        <f>IF(C41="no",IF(C40="Yes","Infiltration BMPs are not allowed.  Achieve volume control requirement through Oversized Detention.","Infiltration BMPs are not allowed.  Achieve volume control requirement through 15% impervious area reduction or by Oversized Detention.")," ")</f>
        <v> </v>
      </c>
      <c r="E41" s="528"/>
      <c r="F41" s="528"/>
      <c r="G41" s="144"/>
      <c r="H41" s="58"/>
      <c r="I41" s="98"/>
      <c r="J41" s="60"/>
      <c r="K41" s="60"/>
      <c r="L41" s="60"/>
      <c r="M41" s="60"/>
    </row>
    <row r="42" spans="1:13" ht="66" customHeight="1">
      <c r="A42" s="30" t="s">
        <v>17</v>
      </c>
      <c r="B42" s="47" t="s">
        <v>374</v>
      </c>
      <c r="C42" s="48"/>
      <c r="D42" s="528">
        <f>IF(C42="","",IF(C42="no","Areas of permeable pavement are included as an impervious surface for the computation made in Cell C48. Storage will be counted toward volume control goal.","Permeable pavement is treated only as a pervious surface and not included as impermeable surfaces when computing required volume control volume (Cell C48)"))</f>
      </c>
      <c r="E42" s="528"/>
      <c r="F42" s="528"/>
      <c r="G42" s="144"/>
      <c r="H42" s="58"/>
      <c r="I42" s="98"/>
      <c r="J42" s="60"/>
      <c r="K42" s="60"/>
      <c r="L42" s="60"/>
      <c r="M42" s="60"/>
    </row>
    <row r="43" spans="1:13" ht="12.75">
      <c r="A43" s="17"/>
      <c r="B43" s="30"/>
      <c r="C43" s="93"/>
      <c r="D43" s="121"/>
      <c r="E43" s="56"/>
      <c r="F43" s="56"/>
      <c r="G43" s="56"/>
      <c r="H43" s="58"/>
      <c r="I43" s="98"/>
      <c r="J43" s="60"/>
      <c r="K43" s="60"/>
      <c r="L43" s="60"/>
      <c r="M43" s="60"/>
    </row>
    <row r="44" spans="1:9" ht="12.75">
      <c r="A44" s="17"/>
      <c r="B44" s="17"/>
      <c r="C44" s="17"/>
      <c r="D44" s="17"/>
      <c r="E44" s="17"/>
      <c r="F44" s="16"/>
      <c r="G44" s="16"/>
      <c r="H44" s="16"/>
      <c r="I44" s="16"/>
    </row>
    <row r="45" spans="1:9" ht="12.75">
      <c r="A45" s="29" t="s">
        <v>60</v>
      </c>
      <c r="B45" s="28" t="s">
        <v>14</v>
      </c>
      <c r="C45" s="17"/>
      <c r="D45" s="17"/>
      <c r="E45" s="17"/>
      <c r="F45" s="17"/>
      <c r="G45" s="17"/>
      <c r="H45" s="17"/>
      <c r="I45" s="6"/>
    </row>
    <row r="46" spans="1:8" ht="20.25">
      <c r="A46" s="15"/>
      <c r="B46" s="8" t="s">
        <v>116</v>
      </c>
      <c r="C46" s="8"/>
      <c r="D46" s="8"/>
      <c r="E46" s="8"/>
      <c r="F46" s="8"/>
      <c r="G46" s="8"/>
      <c r="H46" s="2"/>
    </row>
    <row r="47" spans="1:8" ht="41.25" customHeight="1">
      <c r="A47" s="120" t="s">
        <v>21</v>
      </c>
      <c r="B47" s="33" t="s">
        <v>22</v>
      </c>
      <c r="C47" s="249">
        <f>0.5/12*(E31+E32)</f>
        <v>0</v>
      </c>
      <c r="D47" s="42" t="s">
        <v>54</v>
      </c>
      <c r="E47" s="455" t="s">
        <v>364</v>
      </c>
      <c r="F47" s="457"/>
      <c r="G47" s="145"/>
      <c r="H47" s="2"/>
    </row>
    <row r="48" spans="1:8" ht="67.5" customHeight="1">
      <c r="A48" s="120" t="s">
        <v>61</v>
      </c>
      <c r="B48" s="43" t="s">
        <v>20</v>
      </c>
      <c r="C48" s="250" t="str">
        <f>IF(C40="Yes","Not applicable when site drains to waters",IF(D35&lt;15,"-",D35-15))</f>
        <v>-</v>
      </c>
      <c r="D48" s="42" t="s">
        <v>18</v>
      </c>
      <c r="E48" s="455">
        <f>IF(C40="Yes","For sites draining to waters, a 0.5"" capture of runoff from impervious surfaces is required.  An impervious area reduction will not meet the volume control requirements.",IF(C48="-","",IF(E35&lt;=C48,"REQUIREMENT MET!  Imperviousness reduction meets volume control requirements","Imperviousness reduction not met")))</f>
      </c>
      <c r="F48" s="457"/>
      <c r="G48" s="145"/>
      <c r="H48" s="2"/>
    </row>
    <row r="49" spans="1:8" ht="42" customHeight="1">
      <c r="A49" s="15"/>
      <c r="B49" s="452"/>
      <c r="C49" s="452"/>
      <c r="D49" s="452"/>
      <c r="E49" s="119"/>
      <c r="F49" s="8"/>
      <c r="G49" s="8"/>
      <c r="H49" s="2"/>
    </row>
    <row r="50" spans="1:8" ht="17.25" customHeight="1">
      <c r="A50" s="15"/>
      <c r="B50" s="31"/>
      <c r="C50" s="31"/>
      <c r="D50" s="31"/>
      <c r="E50" s="8"/>
      <c r="F50" s="8"/>
      <c r="G50" s="8"/>
      <c r="H50" s="2"/>
    </row>
  </sheetData>
  <sheetProtection/>
  <mergeCells count="15">
    <mergeCell ref="D40:F40"/>
    <mergeCell ref="D41:F41"/>
    <mergeCell ref="D42:F42"/>
    <mergeCell ref="B30:B35"/>
    <mergeCell ref="B49:D49"/>
    <mergeCell ref="E47:F47"/>
    <mergeCell ref="E48:F48"/>
    <mergeCell ref="B17:B20"/>
    <mergeCell ref="D11:D12"/>
    <mergeCell ref="C38:C39"/>
    <mergeCell ref="F11:F12"/>
    <mergeCell ref="E11:E12"/>
    <mergeCell ref="B13:B16"/>
    <mergeCell ref="B21:B28"/>
    <mergeCell ref="D38:F39"/>
  </mergeCells>
  <printOptions/>
  <pageMargins left="0.75" right="0.75" top="1" bottom="1" header="0.5" footer="0.5"/>
  <pageSetup fitToHeight="1" fitToWidth="1" horizontalDpi="600" verticalDpi="600" orientation="portrait" scale="63" r:id="rId3"/>
  <headerFooter alignWithMargins="0">
    <oddFooter>&amp;L&amp;8City of Chicago
Dept. of Water Management&amp;C&amp;8Permit Application&amp;R&amp;8&amp;A
Page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E11" sqref="E11"/>
    </sheetView>
  </sheetViews>
  <sheetFormatPr defaultColWidth="9.140625" defaultRowHeight="12.75"/>
  <cols>
    <col min="1" max="1" width="16.00390625" style="0" customWidth="1"/>
    <col min="2" max="2" width="6.140625" style="172" customWidth="1"/>
    <col min="3" max="3" width="39.28125" style="0" customWidth="1"/>
    <col min="4" max="4" width="14.421875" style="162" customWidth="1"/>
    <col min="5" max="5" width="14.00390625" style="0" customWidth="1"/>
    <col min="6" max="6" width="11.28125" style="0" customWidth="1"/>
  </cols>
  <sheetData>
    <row r="1" spans="1:8" ht="18">
      <c r="A1" s="131" t="s">
        <v>119</v>
      </c>
      <c r="B1" s="124"/>
      <c r="C1" s="124"/>
      <c r="D1" s="124"/>
      <c r="E1" s="124"/>
      <c r="F1" s="124"/>
      <c r="G1" s="124"/>
      <c r="H1" s="124"/>
    </row>
    <row r="2" spans="1:8" ht="18">
      <c r="A2" s="131" t="s">
        <v>375</v>
      </c>
      <c r="B2" s="124"/>
      <c r="C2" s="124"/>
      <c r="D2" s="124"/>
      <c r="E2" s="124"/>
      <c r="F2" s="124"/>
      <c r="G2" s="124"/>
      <c r="H2" s="124"/>
    </row>
    <row r="3" spans="1:8" ht="12.75" customHeight="1">
      <c r="A3" s="131"/>
      <c r="B3" s="124"/>
      <c r="C3" s="124"/>
      <c r="D3" s="124"/>
      <c r="E3" s="124"/>
      <c r="F3" s="124"/>
      <c r="G3" s="124"/>
      <c r="H3" s="124"/>
    </row>
    <row r="4" spans="1:8" ht="12.75" customHeight="1">
      <c r="A4" t="s">
        <v>123</v>
      </c>
      <c r="B4" s="123">
        <f>IF(COVER!$D$15="","",COVER!$D$15)</f>
      </c>
      <c r="C4" s="146"/>
      <c r="D4" s="124"/>
      <c r="E4" s="124"/>
      <c r="F4" s="124"/>
      <c r="G4" s="124"/>
      <c r="H4" s="124"/>
    </row>
    <row r="5" spans="1:8" ht="12.75" customHeight="1">
      <c r="A5" t="s">
        <v>124</v>
      </c>
      <c r="B5" s="147">
        <f>IF(COVER!$D$18="","",COVER!$D$18)</f>
      </c>
      <c r="C5" s="148"/>
      <c r="D5" s="124"/>
      <c r="E5" s="124"/>
      <c r="F5" s="124"/>
      <c r="G5" s="124"/>
      <c r="H5" s="124"/>
    </row>
    <row r="6" spans="1:8" ht="12.75" customHeight="1">
      <c r="A6" t="s">
        <v>125</v>
      </c>
      <c r="B6" s="147">
        <f>IF(COVER!$F$21="","",COVER!$F$21)</f>
      </c>
      <c r="C6" s="148"/>
      <c r="D6" s="124"/>
      <c r="E6" s="124"/>
      <c r="F6" s="124"/>
      <c r="G6" s="124"/>
      <c r="H6" s="124"/>
    </row>
    <row r="8" ht="15.75">
      <c r="B8" s="161" t="s">
        <v>286</v>
      </c>
    </row>
    <row r="10" spans="2:7" ht="12.75">
      <c r="B10" s="530" t="s">
        <v>139</v>
      </c>
      <c r="C10" s="530"/>
      <c r="D10" s="530"/>
      <c r="E10" s="530"/>
      <c r="F10" s="530"/>
      <c r="G10" s="163"/>
    </row>
    <row r="11" spans="2:7" ht="15.75">
      <c r="B11" s="164">
        <v>1</v>
      </c>
      <c r="C11" s="165" t="s">
        <v>409</v>
      </c>
      <c r="D11" s="110" t="s">
        <v>337</v>
      </c>
      <c r="E11" s="149"/>
      <c r="F11" s="166" t="s">
        <v>141</v>
      </c>
      <c r="G11" s="163"/>
    </row>
    <row r="12" spans="2:7" ht="25.5">
      <c r="B12" s="167">
        <v>2</v>
      </c>
      <c r="C12" s="168" t="s">
        <v>142</v>
      </c>
      <c r="D12" s="110" t="s">
        <v>46</v>
      </c>
      <c r="E12" s="169">
        <v>1</v>
      </c>
      <c r="F12" s="103" t="s">
        <v>143</v>
      </c>
      <c r="G12" s="163"/>
    </row>
    <row r="13" spans="2:7" ht="33.75" customHeight="1">
      <c r="B13" s="167">
        <v>3</v>
      </c>
      <c r="C13" s="170" t="str">
        <f>IF('1.0 RATE CONTROL'!E45="Yes","Volume of upstream runoff from a 1/2-inch storm = C * At * (0.5) * 1/12","Volume of upstream runoff from a 1-inch storm = C * At * 1/12")</f>
        <v>Volume of upstream runoff from a 1-inch storm = C * At * 1/12</v>
      </c>
      <c r="D13" s="110" t="s">
        <v>220</v>
      </c>
      <c r="E13" s="242">
        <f>IF('1.0 RATE CONTROL'!E45="Yes",E12*E11*(0.5)*(1/12),E12*E11*1/12)</f>
        <v>0</v>
      </c>
      <c r="F13" s="103" t="s">
        <v>54</v>
      </c>
      <c r="G13" s="163"/>
    </row>
    <row r="14" spans="2:7" ht="36" customHeight="1">
      <c r="B14" s="164">
        <v>4</v>
      </c>
      <c r="C14" s="170" t="s">
        <v>144</v>
      </c>
      <c r="D14" s="532"/>
      <c r="E14" s="533"/>
      <c r="F14" s="534"/>
      <c r="G14" s="163"/>
    </row>
    <row r="15" spans="2:7" ht="36" customHeight="1">
      <c r="B15" s="164">
        <v>5</v>
      </c>
      <c r="C15" s="170" t="s">
        <v>145</v>
      </c>
      <c r="D15" s="532"/>
      <c r="E15" s="533"/>
      <c r="F15" s="534"/>
      <c r="G15" s="163"/>
    </row>
    <row r="16" spans="2:7" ht="12.75">
      <c r="B16" s="163"/>
      <c r="C16" s="163"/>
      <c r="E16" s="163"/>
      <c r="F16" s="163"/>
      <c r="G16" s="163"/>
    </row>
    <row r="17" spans="2:7" ht="12.75">
      <c r="B17" s="530" t="s">
        <v>146</v>
      </c>
      <c r="C17" s="530"/>
      <c r="D17" s="530"/>
      <c r="E17" s="530"/>
      <c r="F17" s="530"/>
      <c r="G17" s="163"/>
    </row>
    <row r="18" spans="2:7" ht="39.75" customHeight="1">
      <c r="B18" s="164">
        <v>6</v>
      </c>
      <c r="C18" s="170" t="s">
        <v>596</v>
      </c>
      <c r="D18" s="110" t="s">
        <v>147</v>
      </c>
      <c r="E18" s="169"/>
      <c r="F18" s="166" t="s">
        <v>148</v>
      </c>
      <c r="G18" s="163"/>
    </row>
    <row r="19" spans="2:7" ht="38.25">
      <c r="B19" s="167">
        <v>7</v>
      </c>
      <c r="C19" s="170" t="s">
        <v>499</v>
      </c>
      <c r="D19" s="109" t="s">
        <v>341</v>
      </c>
      <c r="E19" s="204"/>
      <c r="F19" s="105" t="s">
        <v>150</v>
      </c>
      <c r="G19" s="163"/>
    </row>
    <row r="20" spans="2:7" ht="31.5" customHeight="1">
      <c r="B20" s="167">
        <v>8</v>
      </c>
      <c r="C20" s="170" t="s">
        <v>339</v>
      </c>
      <c r="D20" s="109" t="s">
        <v>340</v>
      </c>
      <c r="E20" s="204"/>
      <c r="F20" s="105" t="s">
        <v>150</v>
      </c>
      <c r="G20" s="163"/>
    </row>
    <row r="21" spans="2:7" ht="38.25">
      <c r="B21" s="167">
        <v>9</v>
      </c>
      <c r="C21" s="170" t="s">
        <v>149</v>
      </c>
      <c r="D21" s="109" t="s">
        <v>342</v>
      </c>
      <c r="E21" s="252">
        <f>E19-E20</f>
        <v>0</v>
      </c>
      <c r="F21" s="105" t="s">
        <v>150</v>
      </c>
      <c r="G21" s="163"/>
    </row>
    <row r="22" spans="2:7" ht="15.75" customHeight="1">
      <c r="B22" s="163"/>
      <c r="C22" s="172"/>
      <c r="E22" s="163"/>
      <c r="F22" s="163"/>
      <c r="G22" s="163"/>
    </row>
    <row r="23" spans="2:7" ht="12.75">
      <c r="B23" s="530" t="s">
        <v>151</v>
      </c>
      <c r="C23" s="530"/>
      <c r="D23" s="530"/>
      <c r="E23" s="530"/>
      <c r="F23" s="530"/>
      <c r="G23" s="163"/>
    </row>
    <row r="24" spans="2:7" ht="12.75">
      <c r="B24" s="531">
        <v>10</v>
      </c>
      <c r="C24" s="529" t="s">
        <v>152</v>
      </c>
      <c r="D24" s="110" t="s">
        <v>153</v>
      </c>
      <c r="E24" s="149"/>
      <c r="F24" s="166" t="s">
        <v>150</v>
      </c>
      <c r="G24" s="163"/>
    </row>
    <row r="25" spans="2:7" ht="12.75">
      <c r="B25" s="531"/>
      <c r="C25" s="529"/>
      <c r="D25" s="110" t="s">
        <v>154</v>
      </c>
      <c r="E25" s="149"/>
      <c r="F25" s="166" t="s">
        <v>150</v>
      </c>
      <c r="G25" s="163"/>
    </row>
    <row r="26" spans="2:7" ht="15.75">
      <c r="B26" s="531"/>
      <c r="C26" s="529"/>
      <c r="D26" s="110" t="s">
        <v>221</v>
      </c>
      <c r="E26" s="149"/>
      <c r="F26" s="166" t="s">
        <v>141</v>
      </c>
      <c r="G26" s="163"/>
    </row>
    <row r="27" spans="1:8" ht="15.75">
      <c r="A27" s="183"/>
      <c r="B27" s="206">
        <v>11</v>
      </c>
      <c r="C27" s="176" t="s">
        <v>155</v>
      </c>
      <c r="D27" s="229" t="s">
        <v>222</v>
      </c>
      <c r="E27" s="171"/>
      <c r="F27" s="207" t="s">
        <v>150</v>
      </c>
      <c r="G27" s="230"/>
      <c r="H27" s="183"/>
    </row>
    <row r="28" spans="1:8" ht="25.5">
      <c r="A28" s="183"/>
      <c r="B28" s="206">
        <v>12</v>
      </c>
      <c r="C28" s="176" t="s">
        <v>354</v>
      </c>
      <c r="D28" s="229" t="s">
        <v>223</v>
      </c>
      <c r="E28" s="169"/>
      <c r="F28" s="207" t="s">
        <v>143</v>
      </c>
      <c r="G28" s="230"/>
      <c r="H28" s="183"/>
    </row>
    <row r="29" spans="2:7" ht="15.75">
      <c r="B29" s="164">
        <v>13</v>
      </c>
      <c r="C29" s="170" t="s">
        <v>156</v>
      </c>
      <c r="D29" s="110" t="s">
        <v>224</v>
      </c>
      <c r="E29" s="171"/>
      <c r="F29" s="166" t="s">
        <v>150</v>
      </c>
      <c r="G29" s="163"/>
    </row>
    <row r="30" spans="2:7" ht="25.5">
      <c r="B30" s="164">
        <v>14</v>
      </c>
      <c r="C30" s="170" t="s">
        <v>353</v>
      </c>
      <c r="D30" s="110" t="s">
        <v>225</v>
      </c>
      <c r="E30" s="169"/>
      <c r="F30" s="166" t="s">
        <v>150</v>
      </c>
      <c r="G30" s="163"/>
    </row>
    <row r="31" spans="2:7" ht="31.5" customHeight="1">
      <c r="B31" s="164">
        <v>15</v>
      </c>
      <c r="C31" s="170" t="s">
        <v>369</v>
      </c>
      <c r="D31" s="110" t="s">
        <v>226</v>
      </c>
      <c r="E31" s="149"/>
      <c r="F31" s="166" t="s">
        <v>54</v>
      </c>
      <c r="G31" s="163"/>
    </row>
    <row r="32" spans="2:7" ht="31.5">
      <c r="B32" s="164">
        <v>16</v>
      </c>
      <c r="C32" s="170" t="s">
        <v>377</v>
      </c>
      <c r="D32" s="110" t="s">
        <v>227</v>
      </c>
      <c r="E32" s="242">
        <f>E26*((E27*E28)+(E29*E30))</f>
        <v>0</v>
      </c>
      <c r="F32" s="166" t="s">
        <v>54</v>
      </c>
      <c r="G32" s="163"/>
    </row>
    <row r="33" spans="2:7" ht="12.75">
      <c r="B33" s="163"/>
      <c r="C33" s="172"/>
      <c r="E33" s="163"/>
      <c r="F33" s="163"/>
      <c r="G33" s="163"/>
    </row>
    <row r="34" spans="2:7" ht="12.75">
      <c r="B34" s="530" t="s">
        <v>157</v>
      </c>
      <c r="C34" s="530"/>
      <c r="D34" s="530"/>
      <c r="E34" s="530"/>
      <c r="F34" s="530"/>
      <c r="G34" s="163"/>
    </row>
    <row r="35" spans="2:7" ht="15.75">
      <c r="B35" s="164">
        <v>17</v>
      </c>
      <c r="C35" s="170" t="s">
        <v>310</v>
      </c>
      <c r="D35" s="110" t="s">
        <v>220</v>
      </c>
      <c r="E35" s="242">
        <f>E13</f>
        <v>0</v>
      </c>
      <c r="F35" s="166" t="s">
        <v>54</v>
      </c>
      <c r="G35" s="163"/>
    </row>
    <row r="36" spans="2:7" ht="15.75">
      <c r="B36" s="164">
        <v>18</v>
      </c>
      <c r="C36" s="170" t="s">
        <v>228</v>
      </c>
      <c r="D36" s="110" t="s">
        <v>229</v>
      </c>
      <c r="E36" s="242">
        <f>E32+E31</f>
        <v>0</v>
      </c>
      <c r="F36" s="166" t="s">
        <v>54</v>
      </c>
      <c r="G36" s="163"/>
    </row>
    <row r="37" spans="2:7" ht="15.75">
      <c r="B37" s="164">
        <v>19</v>
      </c>
      <c r="C37" s="170" t="s">
        <v>230</v>
      </c>
      <c r="D37" s="110" t="s">
        <v>231</v>
      </c>
      <c r="E37" s="242">
        <f>MIN(E35:E36)</f>
        <v>0</v>
      </c>
      <c r="F37" s="166" t="s">
        <v>54</v>
      </c>
      <c r="G37" s="163"/>
    </row>
  </sheetData>
  <sheetProtection/>
  <mergeCells count="8">
    <mergeCell ref="C24:C26"/>
    <mergeCell ref="B34:F34"/>
    <mergeCell ref="B24:B26"/>
    <mergeCell ref="B10:F10"/>
    <mergeCell ref="B23:F23"/>
    <mergeCell ref="B17:F17"/>
    <mergeCell ref="D14:F14"/>
    <mergeCell ref="D15:F15"/>
  </mergeCells>
  <printOptions/>
  <pageMargins left="0.75" right="0.75" top="1" bottom="1" header="0.5" footer="0.5"/>
  <pageSetup fitToHeight="1" fitToWidth="1" horizontalDpi="600" verticalDpi="600" orientation="portrait" scale="90" r:id="rId1"/>
  <headerFooter alignWithMargins="0">
    <oddFooter>&amp;L&amp;8City of Chicago
Dept. of Water Management&amp;C&amp;8Permit Application
Bioinfiltration Worksheet&amp;R&amp;8&amp;A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Hey and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Wickenkamp</dc:creator>
  <cp:keywords/>
  <dc:description/>
  <cp:lastModifiedBy>Administrator</cp:lastModifiedBy>
  <cp:lastPrinted>2018-02-05T20:24:58Z</cp:lastPrinted>
  <dcterms:created xsi:type="dcterms:W3CDTF">2003-11-04T13:36:28Z</dcterms:created>
  <dcterms:modified xsi:type="dcterms:W3CDTF">2020-03-10T15:16:35Z</dcterms:modified>
  <cp:category/>
  <cp:version/>
  <cp:contentType/>
  <cp:contentStatus/>
</cp:coreProperties>
</file>